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270" windowHeight="8985" tabRatio="730" activeTab="2"/>
  </bookViews>
  <sheets>
    <sheet name="Trafó és tekercs" sheetId="1" r:id="rId1"/>
    <sheet name="Rez.fr, XL, XC" sheetId="2" r:id="rId2"/>
    <sheet name="Rezonáns táp" sheetId="3" r:id="rId3"/>
    <sheet name="Huzalhurok L, F ,C" sheetId="4" r:id="rId4"/>
    <sheet name="Tesla Tekercs" sheetId="5" r:id="rId5"/>
    <sheet name="Egyebek" sheetId="6" r:id="rId6"/>
  </sheets>
  <definedNames/>
  <calcPr fullCalcOnLoad="1"/>
</workbook>
</file>

<file path=xl/comments5.xml><?xml version="1.0" encoding="utf-8"?>
<comments xmlns="http://schemas.openxmlformats.org/spreadsheetml/2006/main">
  <authors>
    <author>Skori</author>
  </authors>
  <commentList>
    <comment ref="A22" authorId="0">
      <text>
        <r>
          <rPr>
            <sz val="8"/>
            <rFont val="Tahoma"/>
            <family val="2"/>
          </rPr>
          <t>Rezonancia frekvencia 
a számított induktivitás és kapacitás alapján</t>
        </r>
      </text>
    </comment>
    <comment ref="A26" authorId="0">
      <text>
        <r>
          <rPr>
            <sz val="8"/>
            <rFont val="Tahoma"/>
            <family val="2"/>
          </rPr>
          <t>Elméleti érték, a gyakorlatban a további veszteségek miatt sokkal rosszabb lesz</t>
        </r>
      </text>
    </comment>
    <comment ref="A27" authorId="0">
      <text>
        <r>
          <rPr>
            <sz val="8"/>
            <rFont val="Tahoma"/>
            <family val="2"/>
          </rPr>
          <t>Elméleti érték, a gyakorlatban sokkal nagyobb lesz a sávszélesség</t>
        </r>
      </text>
    </comment>
  </commentList>
</comments>
</file>

<file path=xl/sharedStrings.xml><?xml version="1.0" encoding="utf-8"?>
<sst xmlns="http://schemas.openxmlformats.org/spreadsheetml/2006/main" count="404" uniqueCount="243">
  <si>
    <t>Trafó méretezés</t>
  </si>
  <si>
    <t>Menetszám számítása:</t>
  </si>
  <si>
    <t>Feszültség</t>
  </si>
  <si>
    <t>Max indukció</t>
  </si>
  <si>
    <t>Vasmag keresztmetszete</t>
  </si>
  <si>
    <t>Frekvencia</t>
  </si>
  <si>
    <t>V - (Volt)</t>
  </si>
  <si>
    <t>T - (Tesla)</t>
  </si>
  <si>
    <t>cm2  - (négyzetcenti)</t>
  </si>
  <si>
    <t>Hz - (Hertz)</t>
  </si>
  <si>
    <t>Menetszám</t>
  </si>
  <si>
    <t>B</t>
  </si>
  <si>
    <t>A</t>
  </si>
  <si>
    <t>F</t>
  </si>
  <si>
    <t>N</t>
  </si>
  <si>
    <t>Hiperszil vasmag</t>
  </si>
  <si>
    <t>Szokásos ertékek</t>
  </si>
  <si>
    <t>50Hz (20Hz…..n*1kHz)</t>
  </si>
  <si>
    <t xml:space="preserve">Normál EI és M vasmagok </t>
  </si>
  <si>
    <t>Ferrit vasmagok</t>
  </si>
  <si>
    <t>20kHz…..1MHz</t>
  </si>
  <si>
    <t>Porvasmagok</t>
  </si>
  <si>
    <t>Áramsürüség</t>
  </si>
  <si>
    <t>Huzalvastagság számítása</t>
  </si>
  <si>
    <t>mm</t>
  </si>
  <si>
    <t>Áramerösség</t>
  </si>
  <si>
    <t>Huzal keresztmetszet</t>
  </si>
  <si>
    <t>A/mm2</t>
  </si>
  <si>
    <t>mm2</t>
  </si>
  <si>
    <t>2…3</t>
  </si>
  <si>
    <t>3…4</t>
  </si>
  <si>
    <t xml:space="preserve">Tekercselt vasú toroid </t>
  </si>
  <si>
    <t>0,8…1</t>
  </si>
  <si>
    <t>1 (0,8….1,4)</t>
  </si>
  <si>
    <t>Huzal átmérö</t>
  </si>
  <si>
    <t>Több párhuzamos szállal tekercselve</t>
  </si>
  <si>
    <t>felhasznált huzal átméröje</t>
  </si>
  <si>
    <t>szüks. huzalok száma</t>
  </si>
  <si>
    <t>db</t>
  </si>
  <si>
    <t>DC….20kHz….??</t>
  </si>
  <si>
    <t>Tekercs méretezés</t>
  </si>
  <si>
    <t>induktivitás meghatározása</t>
  </si>
  <si>
    <t>AL szám</t>
  </si>
  <si>
    <t>menetszám</t>
  </si>
  <si>
    <t>induktivitás mH-ben</t>
  </si>
  <si>
    <t>induktivitás uH-ben</t>
  </si>
  <si>
    <t>menetszám meghatározása</t>
  </si>
  <si>
    <t>szüks induktivitás uH-ben</t>
  </si>
  <si>
    <t>AL meghatározása</t>
  </si>
  <si>
    <t>feltekert menetszám</t>
  </si>
  <si>
    <t>számított AL</t>
  </si>
  <si>
    <t>induktivitás uH</t>
  </si>
  <si>
    <t>Légmagos tekercs induktivitás meghatározása</t>
  </si>
  <si>
    <t>Tekercs hossza (mm)</t>
  </si>
  <si>
    <t>tekercs átmérö (mm)</t>
  </si>
  <si>
    <t>induktivitás tényezö (konstans)</t>
  </si>
  <si>
    <t>induktivitás (mH)</t>
  </si>
  <si>
    <t>http://skory.gylcomp.hu</t>
  </si>
  <si>
    <t>szinuszos feszültség esetén</t>
  </si>
  <si>
    <t xml:space="preserve"> négyszög feszültség esetén</t>
  </si>
  <si>
    <t>Rezonanciafrekvencia számítás</t>
  </si>
  <si>
    <t>C</t>
  </si>
  <si>
    <t>L</t>
  </si>
  <si>
    <t>XC és XL</t>
  </si>
  <si>
    <t>H</t>
  </si>
  <si>
    <t>Hz</t>
  </si>
  <si>
    <t>ohm</t>
  </si>
  <si>
    <t>pF</t>
  </si>
  <si>
    <t>nH</t>
  </si>
  <si>
    <t>nF</t>
  </si>
  <si>
    <t>uH</t>
  </si>
  <si>
    <t>kHz</t>
  </si>
  <si>
    <t>kohm</t>
  </si>
  <si>
    <t>uF</t>
  </si>
  <si>
    <t>mH</t>
  </si>
  <si>
    <t>MHz</t>
  </si>
  <si>
    <t>Mohm</t>
  </si>
  <si>
    <t>Kondi számítás</t>
  </si>
  <si>
    <t>Induktivitás számítás</t>
  </si>
  <si>
    <t>XC számítás</t>
  </si>
  <si>
    <t>XC</t>
  </si>
  <si>
    <t>Uc</t>
  </si>
  <si>
    <t>Ic</t>
  </si>
  <si>
    <t>V</t>
  </si>
  <si>
    <t>kV</t>
  </si>
  <si>
    <t>mA</t>
  </si>
  <si>
    <t>XL számítás</t>
  </si>
  <si>
    <t>XL</t>
  </si>
  <si>
    <t>Vas keresztmetszet cm2</t>
  </si>
  <si>
    <t>Imax (A)</t>
  </si>
  <si>
    <t>Bmax (T) 0,3….0,4</t>
  </si>
  <si>
    <t>Induktivitás (uH)</t>
  </si>
  <si>
    <t>Menetszám számítása légréses vasmagú tekercshez</t>
  </si>
  <si>
    <t>Légréshossz ()</t>
  </si>
  <si>
    <t>szükséges menetszám</t>
  </si>
  <si>
    <t>szüks.légréshossz (mm)</t>
  </si>
  <si>
    <t>szüks menetszám</t>
  </si>
  <si>
    <t>Légréshossz és menetszám  számítása,  légréses vasmagú tekercshez</t>
  </si>
  <si>
    <t>indukció számítása</t>
  </si>
  <si>
    <t>U sin. / effektív érték</t>
  </si>
  <si>
    <t>menet</t>
  </si>
  <si>
    <t>Indukció</t>
  </si>
  <si>
    <t>(T) szinuszos fesz.esetén</t>
  </si>
  <si>
    <t>(T) négyszög fesz.esetén</t>
  </si>
  <si>
    <t>0,1….0,3</t>
  </si>
  <si>
    <t>huzalátmérő (mm)</t>
  </si>
  <si>
    <t>ellenállás (ohm)</t>
  </si>
  <si>
    <t>hossz  (m)</t>
  </si>
  <si>
    <t>szálak száma</t>
  </si>
  <si>
    <t>Vaskeresztmetszet számítás (fazékvasmaghoz)</t>
  </si>
  <si>
    <t>rézhuzal ellenállásásnak megsaccolása</t>
  </si>
  <si>
    <t>Légréses vasmagú tekercs indukció számítása</t>
  </si>
  <si>
    <t>Vasmag keresztmetszet (cm2)</t>
  </si>
  <si>
    <t>Tekercs induktivitása
L (uH)</t>
  </si>
  <si>
    <t>Max áram
I (A)</t>
  </si>
  <si>
    <t>Légréshossz
l (mm)</t>
  </si>
  <si>
    <t>DC kapcs tápban (60kHz)
a tekercs kb. 0,28T-ig lesz jó</t>
  </si>
  <si>
    <t>Indukció 
B max (T)</t>
  </si>
  <si>
    <t>oszlop átmérő (mm)</t>
  </si>
  <si>
    <t>lyuk (mm)</t>
  </si>
  <si>
    <t>keresztmetszet (cm2)</t>
  </si>
  <si>
    <t>induktivitás (uH)</t>
  </si>
  <si>
    <t>Max Indukció 
B max (T)</t>
  </si>
  <si>
    <t>Al szám
(nH)</t>
  </si>
  <si>
    <t>Max gerjesztés
(A)</t>
  </si>
  <si>
    <t>Max áramerősség
(A)</t>
  </si>
  <si>
    <t>induktivitás
(uH)</t>
  </si>
  <si>
    <t>Tekercs méretezése adott vasmagra, adott áramerősségre - menetszám és elérhető induktivitás</t>
  </si>
  <si>
    <t>AC áramra a tekercs
 kb 0,18T-ig használható</t>
  </si>
  <si>
    <t>cm</t>
  </si>
  <si>
    <t>cm^2</t>
  </si>
  <si>
    <t>rezonancia frekcencia</t>
  </si>
  <si>
    <t>tekercs menetszáma</t>
  </si>
  <si>
    <t>kör alaku tekercs átmérője</t>
  </si>
  <si>
    <t xml:space="preserve"> -</t>
  </si>
  <si>
    <t>vagy:téglalap alakú tekercs oldalai</t>
  </si>
  <si>
    <t>vagy: felület megadása</t>
  </si>
  <si>
    <t>feszültség a tekercs végpontjai között</t>
  </si>
  <si>
    <t>XL és XC</t>
  </si>
  <si>
    <t>köráram</t>
  </si>
  <si>
    <t>tekercs induktivitása</t>
  </si>
  <si>
    <t>tekercs felülete</t>
  </si>
  <si>
    <t>szükséges kapacitás</t>
  </si>
  <si>
    <t>Ismert adatok</t>
  </si>
  <si>
    <t>Számított adatok</t>
  </si>
  <si>
    <t>Huzalhurokból készült tekercs, és rezgőkör számítása</t>
  </si>
  <si>
    <t>gerjesztés</t>
  </si>
  <si>
    <t>A * menet</t>
  </si>
  <si>
    <t>felületegységre eső gerjesztés</t>
  </si>
  <si>
    <t>A/mm^2</t>
  </si>
  <si>
    <t>Félhidas, rezonáns kapcsolóüzemű hálózati tápegység méretezése (saccolása :) ) - Skori</t>
  </si>
  <si>
    <t>Ismert feltételek</t>
  </si>
  <si>
    <t>Számított értékek</t>
  </si>
  <si>
    <t>megj: a bal oldali számítások többek között a holtidőt sem veszik figyelembe, ezért gyakorlatban kb. 90% feletti kitöltés esetén használhatók az eredmények</t>
  </si>
  <si>
    <t>Kívánt telj.</t>
  </si>
  <si>
    <t>Üzemi frekvencia</t>
  </si>
  <si>
    <t>Félhíd tápfeszültsége terhelt állapotban</t>
  </si>
  <si>
    <t>Szórási induktivitás max értéke</t>
  </si>
  <si>
    <t>Kapacitás értéke az adott szórási induktivitáshoz</t>
  </si>
  <si>
    <t>A kapcsoló-félvezetőket terhelő áram csúcsértéke zárlatban</t>
  </si>
  <si>
    <t>P (W)</t>
  </si>
  <si>
    <t>F (kHz)</t>
  </si>
  <si>
    <t>U dc-terh (V)</t>
  </si>
  <si>
    <t>L (uH)</t>
  </si>
  <si>
    <t>C (nF)</t>
  </si>
  <si>
    <t>I (A)</t>
  </si>
  <si>
    <t>Szórási induktivitás mért értéke</t>
  </si>
  <si>
    <t>Kivehető (határ)teljesítmény</t>
  </si>
  <si>
    <t>megj:
a ténylegesen szükséges kapacitás kiszámításánál, a félvezető-kapcsoló eszközök tényleges kapacitását le kell vonni az eredményből.
A számítás csak kb. 90% feletti kitöltés esetén ad használható eredményt mert elhanyagolja, hogy az induktivitás árama megváltozik a holtidő alatt. 
A gyakorlatban a fenti módon kiszámítottnál mindíg valamivel kisebb értékü ZVS kondi lesz az optimális.. 
A pontos értéket méréssel célszerűbb meghatározni.</t>
  </si>
  <si>
    <t xml:space="preserve">Trafó primertekercs induktivitása </t>
  </si>
  <si>
    <t>holtidő a félhídban</t>
  </si>
  <si>
    <t>Össz ZVS kapacitás 
max értéke</t>
  </si>
  <si>
    <t>Induktív csúcsáram</t>
  </si>
  <si>
    <t>t (ns)</t>
  </si>
  <si>
    <t>Tesla tekercs - rezonancia frekvencia közelítő meghatározása</t>
  </si>
  <si>
    <t>ismert adatok:</t>
  </si>
  <si>
    <t>a tekercs hossza</t>
  </si>
  <si>
    <t>miliméter</t>
  </si>
  <si>
    <t>(csak a megtekercselt rész hossza)</t>
  </si>
  <si>
    <t>a tekercs csévetest átméröje</t>
  </si>
  <si>
    <t>a tekercs menetszáma</t>
  </si>
  <si>
    <t>(nem kötelezö megadni, ilyenkor a huzalvastagságból számítja)</t>
  </si>
  <si>
    <t>huzal vastagsága</t>
  </si>
  <si>
    <t>pontosan kell mérni, (pl. mikrométerrel) különben nagyot hibázik a számítás</t>
  </si>
  <si>
    <t>felsö kör tárcsa átméröje</t>
  </si>
  <si>
    <t>(csak akkor ha van :-)</t>
  </si>
  <si>
    <t>további kapacitást növelö felület</t>
  </si>
  <si>
    <t>négyzetcentiméter</t>
  </si>
  <si>
    <t>tekercs számított adatai:</t>
  </si>
  <si>
    <t>a tekercs menetszáma  xx%</t>
  </si>
  <si>
    <t>(menet-menet mellé tekerésnél 97%-os kitöltést feltételezve, vagy a megadott érték)</t>
  </si>
  <si>
    <t>a feltekert huzal hossza</t>
  </si>
  <si>
    <t>méter</t>
  </si>
  <si>
    <t>a feltekert réz huzal súlya (kg)</t>
  </si>
  <si>
    <t>kg</t>
  </si>
  <si>
    <t>a feltekert réz huzal súlya (gramm)</t>
  </si>
  <si>
    <t>gramm</t>
  </si>
  <si>
    <t>a tekercs induktivitása</t>
  </si>
  <si>
    <t>a tekercs ohmos ellenállása</t>
  </si>
  <si>
    <t>a tekercspalást felület</t>
  </si>
  <si>
    <t>cm2</t>
  </si>
  <si>
    <t>kapacitás a felület alapján</t>
  </si>
  <si>
    <t>(kb. a tekercspalást felületének négyzetgyökével arányos)</t>
  </si>
  <si>
    <t>frekvencia L és C alapján</t>
  </si>
  <si>
    <t>felsö tácsa és, kapacitás stb... nélkül</t>
  </si>
  <si>
    <t>frekvencia a geometriai méretek alapján</t>
  </si>
  <si>
    <t>hullámhossz negyedrésze</t>
  </si>
  <si>
    <t>XL ill. XC rezonancián</t>
  </si>
  <si>
    <t>k ohm</t>
  </si>
  <si>
    <t>jósági tényezö</t>
  </si>
  <si>
    <t>Elméleti érték, a gyakorlatban a további veszteségek miatt sokkal rosszabb lesz</t>
  </si>
  <si>
    <t>3dB-es sávszélesség</t>
  </si>
  <si>
    <t>Elméleti érték, a gyakorlatban sokkal nagyobb lesz a sávszélesség</t>
  </si>
  <si>
    <t>számított adatok felsö tárcsával (+ további felsö kapacitással):</t>
  </si>
  <si>
    <t>össz. további felsö felület</t>
  </si>
  <si>
    <t>tárcsa+egyéb felület gyöke</t>
  </si>
  <si>
    <t>tárcsa+egyéb kapacitás</t>
  </si>
  <si>
    <t>teljes kapacitás</t>
  </si>
  <si>
    <t>frekvencia tárcsával</t>
  </si>
  <si>
    <t>Gyakorlati konstansok: (tapasztalati tényezök)</t>
  </si>
  <si>
    <t>induktivitási tényezö:</t>
  </si>
  <si>
    <t>ellenállás tényezö</t>
  </si>
  <si>
    <t>kapacitás tényezö felület alapján</t>
  </si>
  <si>
    <t>tekercshossz kitöltés menetekkel</t>
  </si>
  <si>
    <t>réz sürüsége kg/m3</t>
  </si>
  <si>
    <t>frekvencia tényezö, geo méretekböl kiindulva</t>
  </si>
  <si>
    <t>T</t>
  </si>
  <si>
    <t>us</t>
  </si>
  <si>
    <t>ms</t>
  </si>
  <si>
    <t>s</t>
  </si>
  <si>
    <r>
      <t xml:space="preserve">Teljesítmény </t>
    </r>
    <r>
      <rPr>
        <b/>
        <sz val="12"/>
        <rFont val="Arial"/>
        <family val="2"/>
      </rPr>
      <t xml:space="preserve">saccolása </t>
    </r>
    <r>
      <rPr>
        <sz val="12"/>
        <rFont val="Arial"/>
        <family val="2"/>
      </rPr>
      <t>a keresztmetszet alapján</t>
    </r>
  </si>
  <si>
    <t>J</t>
  </si>
  <si>
    <t>P</t>
  </si>
  <si>
    <t>keresztmetszet</t>
  </si>
  <si>
    <t>inukcio</t>
  </si>
  <si>
    <t>frekvencia</t>
  </si>
  <si>
    <t>áramsürüség</t>
  </si>
  <si>
    <t>teljesítmény</t>
  </si>
  <si>
    <r>
      <t>cm</t>
    </r>
    <r>
      <rPr>
        <vertAlign val="superscript"/>
        <sz val="12"/>
        <rFont val="Times New Roman"/>
        <family val="1"/>
      </rPr>
      <t>2</t>
    </r>
  </si>
  <si>
    <r>
      <t>A/mm</t>
    </r>
    <r>
      <rPr>
        <vertAlign val="superscript"/>
        <sz val="12"/>
        <rFont val="Times New Roman"/>
        <family val="1"/>
      </rPr>
      <t>2</t>
    </r>
  </si>
  <si>
    <t>W</t>
  </si>
  <si>
    <r>
      <t xml:space="preserve">Keresztmetszet </t>
    </r>
    <r>
      <rPr>
        <b/>
        <sz val="12"/>
        <rFont val="Arial"/>
        <family val="2"/>
      </rPr>
      <t xml:space="preserve">saccolása </t>
    </r>
    <r>
      <rPr>
        <sz val="12"/>
        <rFont val="Arial"/>
        <family val="2"/>
      </rPr>
      <t>a teljesítmény alapján</t>
    </r>
  </si>
  <si>
    <t>Ez tényleg csak saccolás, mert az átvihető teljesítmény csak közvetetten függ a keresztmetszettől, és a számítás egy része eleve saccoláson alapul, és bizonyos dolgokat feltételezve készült. Például feltételez egy bizonyos vasmag keresztmetszet/ablakméret arányt ami nem minden vasmag esetén ugyanannyi, vagy pl. adott mértékű csévetest kitöltést a huzallal. Azért került be mégis ebbe a táblázatba, mert ha egy trafó tervezésekor a nulláról indulunk - akkor kiindulási alapnak mégiscsak használható lesz.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</si>
</sst>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##,###"/>
    <numFmt numFmtId="166" formatCode="0.000"/>
    <numFmt numFmtId="167" formatCode="0.0000"/>
  </numFmts>
  <fonts count="2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9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hidden="1"/>
    </xf>
    <xf numFmtId="0" fontId="5" fillId="0" borderId="0" xfId="17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4" borderId="11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4" borderId="6" xfId="0" applyFill="1" applyBorder="1" applyAlignment="1">
      <alignment horizontal="left"/>
    </xf>
    <xf numFmtId="0" fontId="0" fillId="4" borderId="6" xfId="0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5" borderId="6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/>
    </xf>
    <xf numFmtId="2" fontId="0" fillId="5" borderId="9" xfId="0" applyNumberForma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3" xfId="0" applyFill="1" applyBorder="1" applyAlignment="1">
      <alignment/>
    </xf>
    <xf numFmtId="2" fontId="0" fillId="5" borderId="2" xfId="0" applyNumberForma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6" xfId="0" applyFill="1" applyBorder="1" applyAlignment="1">
      <alignment/>
    </xf>
    <xf numFmtId="2" fontId="0" fillId="5" borderId="4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11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 horizontal="left"/>
    </xf>
    <xf numFmtId="1" fontId="0" fillId="5" borderId="2" xfId="0" applyNumberFormat="1" applyFill="1" applyBorder="1" applyAlignment="1">
      <alignment horizontal="right"/>
    </xf>
    <xf numFmtId="0" fontId="0" fillId="5" borderId="5" xfId="0" applyFill="1" applyBorder="1" applyAlignment="1">
      <alignment horizontal="left"/>
    </xf>
    <xf numFmtId="0" fontId="0" fillId="5" borderId="4" xfId="0" applyFill="1" applyBorder="1" applyAlignment="1">
      <alignment/>
    </xf>
    <xf numFmtId="0" fontId="0" fillId="5" borderId="9" xfId="0" applyFill="1" applyBorder="1" applyAlignment="1">
      <alignment/>
    </xf>
    <xf numFmtId="0" fontId="8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165" fontId="0" fillId="2" borderId="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6" fontId="0" fillId="3" borderId="7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6" fontId="0" fillId="3" borderId="5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/>
    </xf>
    <xf numFmtId="0" fontId="0" fillId="2" borderId="10" xfId="0" applyFill="1" applyBorder="1" applyAlignment="1" applyProtection="1">
      <alignment horizontal="center" wrapText="1"/>
      <protection/>
    </xf>
    <xf numFmtId="0" fontId="0" fillId="2" borderId="9" xfId="0" applyFill="1" applyBorder="1" applyAlignment="1" applyProtection="1">
      <alignment horizontal="center" wrapText="1"/>
      <protection/>
    </xf>
    <xf numFmtId="0" fontId="0" fillId="3" borderId="7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5" borderId="7" xfId="0" applyFill="1" applyBorder="1" applyAlignment="1" applyProtection="1">
      <alignment horizontal="center"/>
      <protection hidden="1" locked="0"/>
    </xf>
    <xf numFmtId="0" fontId="0" fillId="5" borderId="6" xfId="0" applyFill="1" applyBorder="1" applyAlignment="1" applyProtection="1">
      <alignment horizontal="center"/>
      <protection hidden="1" locked="0"/>
    </xf>
    <xf numFmtId="0" fontId="0" fillId="2" borderId="15" xfId="0" applyFill="1" applyBorder="1" applyAlignment="1" applyProtection="1">
      <alignment horizontal="center" wrapText="1"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  <xf numFmtId="2" fontId="0" fillId="3" borderId="5" xfId="0" applyNumberFormat="1" applyFill="1" applyBorder="1" applyAlignment="1" applyProtection="1">
      <alignment horizontal="center"/>
      <protection hidden="1"/>
    </xf>
    <xf numFmtId="2" fontId="0" fillId="3" borderId="6" xfId="0" applyNumberForma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 locked="0"/>
    </xf>
    <xf numFmtId="0" fontId="0" fillId="2" borderId="20" xfId="0" applyFill="1" applyBorder="1" applyAlignment="1" applyProtection="1">
      <alignment horizontal="center"/>
      <protection hidden="1" locked="0"/>
    </xf>
    <xf numFmtId="0" fontId="0" fillId="2" borderId="6" xfId="0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 horizont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7" fontId="0" fillId="3" borderId="7" xfId="0" applyNumberForma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2" fontId="0" fillId="5" borderId="4" xfId="0" applyNumberFormat="1" applyFill="1" applyBorder="1" applyAlignment="1" applyProtection="1">
      <alignment horizontal="center" vertical="center"/>
      <protection hidden="1"/>
    </xf>
    <xf numFmtId="2" fontId="0" fillId="5" borderId="5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67" fontId="0" fillId="3" borderId="7" xfId="0" applyNumberForma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0" fillId="6" borderId="0" xfId="0" applyFill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2" fontId="13" fillId="0" borderId="0" xfId="0" applyNumberFormat="1" applyFont="1" applyAlignment="1" applyProtection="1">
      <alignment/>
      <protection hidden="1"/>
    </xf>
    <xf numFmtId="2" fontId="13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2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locked="0"/>
    </xf>
    <xf numFmtId="0" fontId="0" fillId="0" borderId="5" xfId="0" applyBorder="1" applyAlignment="1" applyProtection="1">
      <alignment/>
      <protection hidden="1"/>
    </xf>
    <xf numFmtId="9" fontId="0" fillId="0" borderId="5" xfId="0" applyNumberFormat="1" applyBorder="1" applyAlignment="1" applyProtection="1">
      <alignment/>
      <protection locked="0"/>
    </xf>
    <xf numFmtId="0" fontId="0" fillId="0" borderId="5" xfId="0" applyNumberForma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3" xfId="0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2" fillId="2" borderId="6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 locked="0"/>
    </xf>
    <xf numFmtId="0" fontId="12" fillId="2" borderId="11" xfId="0" applyFont="1" applyFill="1" applyBorder="1" applyAlignment="1" applyProtection="1">
      <alignment horizontal="left" vertical="top" wrapText="1"/>
      <protection hidden="1"/>
    </xf>
    <xf numFmtId="0" fontId="12" fillId="2" borderId="2" xfId="0" applyFont="1" applyFill="1" applyBorder="1" applyAlignment="1" applyProtection="1">
      <alignment horizontal="left" vertical="top" wrapText="1"/>
      <protection hidden="1"/>
    </xf>
    <xf numFmtId="0" fontId="12" fillId="2" borderId="3" xfId="0" applyFont="1" applyFill="1" applyBorder="1" applyAlignment="1" applyProtection="1">
      <alignment horizontal="left" vertical="top" wrapText="1"/>
      <protection hidden="1"/>
    </xf>
    <xf numFmtId="0" fontId="12" fillId="2" borderId="4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left" vertical="top" wrapText="1"/>
      <protection hidden="1"/>
    </xf>
    <xf numFmtId="0" fontId="12" fillId="2" borderId="9" xfId="0" applyFont="1" applyFill="1" applyBorder="1" applyAlignment="1" applyProtection="1">
      <alignment horizontal="left" vertical="center" wrapText="1"/>
      <protection hidden="1"/>
    </xf>
    <xf numFmtId="0" fontId="12" fillId="2" borderId="11" xfId="0" applyFont="1" applyFill="1" applyBorder="1" applyAlignment="1" applyProtection="1">
      <alignment horizontal="left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  <xf numFmtId="0" fontId="12" fillId="2" borderId="4" xfId="0" applyFont="1" applyFill="1" applyBorder="1" applyAlignment="1" applyProtection="1">
      <alignment horizontal="left" vertical="center" wrapText="1"/>
      <protection hidden="1"/>
    </xf>
    <xf numFmtId="0" fontId="12" fillId="2" borderId="6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0" fillId="0" borderId="12" xfId="0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0" fillId="3" borderId="21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FF99"/>
        </patternFill>
      </fill>
      <border/>
    </dxf>
    <dxf>
      <fill>
        <patternFill patternType="solid">
          <fgColor rgb="FFFFCC99"/>
          <bgColor rgb="FFFF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kory.gylcomp.hu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2">
      <selection activeCell="D85" sqref="D85"/>
    </sheetView>
  </sheetViews>
  <sheetFormatPr defaultColWidth="9.00390625" defaultRowHeight="12.75"/>
  <cols>
    <col min="1" max="1" width="22.375" style="0" customWidth="1"/>
    <col min="2" max="2" width="14.625" style="2" customWidth="1"/>
    <col min="3" max="3" width="22.75390625" style="2" customWidth="1"/>
    <col min="4" max="4" width="22.375" style="0" customWidth="1"/>
    <col min="5" max="5" width="22.875" style="0" customWidth="1"/>
    <col min="6" max="6" width="22.00390625" style="0" customWidth="1"/>
  </cols>
  <sheetData>
    <row r="1" spans="1:6" ht="20.25">
      <c r="A1" s="218" t="s">
        <v>0</v>
      </c>
      <c r="B1" s="218"/>
      <c r="C1" s="218"/>
      <c r="D1" s="218"/>
      <c r="E1" s="218"/>
      <c r="F1" s="30" t="s">
        <v>57</v>
      </c>
    </row>
    <row r="2" ht="13.5" thickBot="1"/>
    <row r="3" spans="1:6" ht="18.75" thickBot="1">
      <c r="A3" s="225" t="s">
        <v>1</v>
      </c>
      <c r="B3" s="226"/>
      <c r="C3" s="226"/>
      <c r="D3" s="226"/>
      <c r="E3" s="226"/>
      <c r="F3" s="227"/>
    </row>
    <row r="4" spans="1:6" s="1" customFormat="1" ht="12.75">
      <c r="A4" s="6" t="s">
        <v>2</v>
      </c>
      <c r="B4" s="4" t="s">
        <v>3</v>
      </c>
      <c r="C4" s="6" t="s">
        <v>4</v>
      </c>
      <c r="D4" s="4" t="s">
        <v>5</v>
      </c>
      <c r="E4" s="6" t="s">
        <v>10</v>
      </c>
      <c r="F4" s="9" t="s">
        <v>10</v>
      </c>
    </row>
    <row r="5" spans="1:6" s="1" customFormat="1" ht="12.75">
      <c r="A5" s="7" t="s">
        <v>99</v>
      </c>
      <c r="B5" s="4" t="s">
        <v>11</v>
      </c>
      <c r="C5" s="6" t="s">
        <v>12</v>
      </c>
      <c r="D5" s="4" t="s">
        <v>13</v>
      </c>
      <c r="E5" s="7" t="s">
        <v>58</v>
      </c>
      <c r="F5" s="17" t="s">
        <v>59</v>
      </c>
    </row>
    <row r="6" spans="1:6" s="2" customFormat="1" ht="12" customHeight="1">
      <c r="A6" s="3" t="s">
        <v>6</v>
      </c>
      <c r="B6" s="5" t="s">
        <v>7</v>
      </c>
      <c r="C6" s="3" t="s">
        <v>8</v>
      </c>
      <c r="D6" s="5" t="s">
        <v>9</v>
      </c>
      <c r="E6" s="3" t="s">
        <v>14</v>
      </c>
      <c r="F6" s="10" t="s">
        <v>14</v>
      </c>
    </row>
    <row r="7" spans="1:6" s="2" customFormat="1" ht="13.5" thickBot="1">
      <c r="A7" s="76">
        <v>150</v>
      </c>
      <c r="B7" s="77">
        <v>0.133</v>
      </c>
      <c r="C7" s="76">
        <v>2.25</v>
      </c>
      <c r="D7" s="77">
        <v>40000</v>
      </c>
      <c r="E7" s="18">
        <f>A7/(4.44*B7*C7*D7)*10000</f>
        <v>28.22371243423875</v>
      </c>
      <c r="F7" s="19">
        <f>A7/(4*B7*C7*D7)*10000</f>
        <v>31.32832080200501</v>
      </c>
    </row>
    <row r="8" ht="13.5" thickBot="1"/>
    <row r="9" spans="1:6" ht="16.5" thickBot="1">
      <c r="A9" s="228" t="s">
        <v>98</v>
      </c>
      <c r="B9" s="229"/>
      <c r="C9" s="229"/>
      <c r="D9" s="229"/>
      <c r="E9" s="229"/>
      <c r="F9" s="230"/>
    </row>
    <row r="10" spans="1:6" ht="12.75">
      <c r="A10" s="88" t="s">
        <v>2</v>
      </c>
      <c r="B10" s="88" t="s">
        <v>10</v>
      </c>
      <c r="C10" s="88" t="s">
        <v>4</v>
      </c>
      <c r="D10" s="86" t="s">
        <v>5</v>
      </c>
      <c r="E10" s="88" t="s">
        <v>101</v>
      </c>
      <c r="F10" s="87" t="s">
        <v>101</v>
      </c>
    </row>
    <row r="11" spans="1:6" ht="12.75">
      <c r="A11" s="3" t="s">
        <v>6</v>
      </c>
      <c r="B11" s="5" t="s">
        <v>100</v>
      </c>
      <c r="C11" s="3" t="s">
        <v>8</v>
      </c>
      <c r="D11" s="5" t="s">
        <v>9</v>
      </c>
      <c r="E11" s="3" t="s">
        <v>102</v>
      </c>
      <c r="F11" s="10" t="s">
        <v>103</v>
      </c>
    </row>
    <row r="12" spans="1:6" ht="13.5" thickBot="1">
      <c r="A12" s="76">
        <v>310</v>
      </c>
      <c r="B12" s="77">
        <v>78</v>
      </c>
      <c r="C12" s="76">
        <v>1.5</v>
      </c>
      <c r="D12" s="77">
        <v>60000</v>
      </c>
      <c r="E12" s="89">
        <f>A12/(4.44*B12*C12*D12)*10000</f>
        <v>0.09945843279176612</v>
      </c>
      <c r="F12" s="90">
        <f>A12/(4*B12*C12*D12)*10000</f>
        <v>0.1103988603988604</v>
      </c>
    </row>
    <row r="14" ht="13.5" thickBot="1"/>
    <row r="15" spans="1:4" ht="18.75" thickBot="1">
      <c r="A15" s="225" t="s">
        <v>16</v>
      </c>
      <c r="B15" s="226"/>
      <c r="C15" s="226"/>
      <c r="D15" s="227"/>
    </row>
    <row r="16" spans="1:4" ht="12.75">
      <c r="A16" s="8"/>
      <c r="B16" s="4" t="s">
        <v>3</v>
      </c>
      <c r="C16" s="5" t="s">
        <v>22</v>
      </c>
      <c r="D16" s="9" t="s">
        <v>5</v>
      </c>
    </row>
    <row r="17" spans="1:4" ht="12.75">
      <c r="A17" s="8" t="s">
        <v>15</v>
      </c>
      <c r="B17" s="5" t="s">
        <v>33</v>
      </c>
      <c r="C17" s="5">
        <v>3</v>
      </c>
      <c r="D17" s="10" t="s">
        <v>17</v>
      </c>
    </row>
    <row r="18" spans="1:4" ht="12.75">
      <c r="A18" s="8" t="s">
        <v>18</v>
      </c>
      <c r="B18" s="5">
        <v>0.8</v>
      </c>
      <c r="C18" s="5" t="s">
        <v>29</v>
      </c>
      <c r="D18" s="10" t="s">
        <v>17</v>
      </c>
    </row>
    <row r="19" spans="1:4" ht="12.75">
      <c r="A19" s="8" t="s">
        <v>31</v>
      </c>
      <c r="B19" s="5">
        <v>1.2</v>
      </c>
      <c r="C19" s="5" t="s">
        <v>30</v>
      </c>
      <c r="D19" s="10" t="s">
        <v>17</v>
      </c>
    </row>
    <row r="20" spans="1:4" ht="12.75">
      <c r="A20" s="8" t="s">
        <v>19</v>
      </c>
      <c r="B20" s="5" t="s">
        <v>104</v>
      </c>
      <c r="C20" s="5" t="s">
        <v>30</v>
      </c>
      <c r="D20" s="10" t="s">
        <v>20</v>
      </c>
    </row>
    <row r="21" spans="1:4" ht="13.5" thickBot="1">
      <c r="A21" s="11" t="s">
        <v>21</v>
      </c>
      <c r="B21" s="12" t="s">
        <v>32</v>
      </c>
      <c r="C21" s="12" t="s">
        <v>30</v>
      </c>
      <c r="D21" s="13" t="s">
        <v>39</v>
      </c>
    </row>
    <row r="22" ht="13.5" thickBot="1"/>
    <row r="23" spans="1:6" ht="18.75" thickBot="1">
      <c r="A23" s="225" t="s">
        <v>23</v>
      </c>
      <c r="B23" s="226"/>
      <c r="C23" s="226"/>
      <c r="D23" s="226"/>
      <c r="E23" s="226"/>
      <c r="F23" s="227"/>
    </row>
    <row r="24" spans="1:6" ht="13.5" thickBot="1">
      <c r="A24" s="16" t="s">
        <v>25</v>
      </c>
      <c r="B24" s="21" t="s">
        <v>22</v>
      </c>
      <c r="C24" s="5" t="s">
        <v>26</v>
      </c>
      <c r="D24" s="21" t="s">
        <v>34</v>
      </c>
      <c r="E24" s="223" t="s">
        <v>35</v>
      </c>
      <c r="F24" s="224"/>
    </row>
    <row r="25" spans="1:6" ht="12.75">
      <c r="A25" s="16"/>
      <c r="B25" s="3"/>
      <c r="C25" s="5"/>
      <c r="D25" s="3"/>
      <c r="E25" s="23" t="s">
        <v>36</v>
      </c>
      <c r="F25" s="21" t="s">
        <v>37</v>
      </c>
    </row>
    <row r="26" spans="1:6" ht="12.75">
      <c r="A26" s="16" t="s">
        <v>12</v>
      </c>
      <c r="B26" s="3" t="s">
        <v>27</v>
      </c>
      <c r="C26" s="5" t="s">
        <v>28</v>
      </c>
      <c r="D26" s="3" t="s">
        <v>24</v>
      </c>
      <c r="E26" s="3" t="s">
        <v>24</v>
      </c>
      <c r="F26" s="3" t="s">
        <v>38</v>
      </c>
    </row>
    <row r="27" spans="1:6" ht="13.5" thickBot="1">
      <c r="A27" s="78">
        <v>3</v>
      </c>
      <c r="B27" s="76">
        <v>5</v>
      </c>
      <c r="C27" s="20">
        <f>A27/B27</f>
        <v>0.6</v>
      </c>
      <c r="D27" s="22">
        <f>2*(A27/B27/3.1415)^0.5</f>
        <v>0.8740516335760327</v>
      </c>
      <c r="E27" s="76">
        <v>0.5</v>
      </c>
      <c r="F27" s="18">
        <f>4*A27/B27/(E27^2)/3.14159</f>
        <v>3.055777488469215</v>
      </c>
    </row>
    <row r="28" spans="1:3" ht="13.5" thickBot="1">
      <c r="A28" s="14"/>
      <c r="B28" s="15"/>
      <c r="C28" s="15"/>
    </row>
    <row r="29" spans="1:5" ht="13.5" thickBot="1">
      <c r="A29" s="220" t="s">
        <v>110</v>
      </c>
      <c r="B29" s="221"/>
      <c r="C29" s="221"/>
      <c r="D29" s="221"/>
      <c r="E29" s="222"/>
    </row>
    <row r="30" spans="1:5" ht="12.75">
      <c r="A30" s="16" t="s">
        <v>105</v>
      </c>
      <c r="B30" s="21" t="s">
        <v>107</v>
      </c>
      <c r="C30" s="5" t="s">
        <v>106</v>
      </c>
      <c r="D30" s="21" t="s">
        <v>108</v>
      </c>
      <c r="E30" s="10" t="s">
        <v>106</v>
      </c>
    </row>
    <row r="31" spans="1:5" ht="13.5" thickBot="1">
      <c r="A31" s="78">
        <v>1</v>
      </c>
      <c r="B31" s="76">
        <v>4</v>
      </c>
      <c r="C31" s="101">
        <f>B31/A31/A31/44</f>
        <v>0.09090909090909091</v>
      </c>
      <c r="D31" s="76">
        <v>4</v>
      </c>
      <c r="E31" s="90">
        <f>IF(D31&gt;1,C31/D31," - ")</f>
        <v>0.022727272727272728</v>
      </c>
    </row>
    <row r="32" spans="1:5" s="14" customFormat="1" ht="12.75">
      <c r="A32" s="36"/>
      <c r="B32" s="36"/>
      <c r="C32" s="102"/>
      <c r="D32" s="36"/>
      <c r="E32" s="102"/>
    </row>
    <row r="33" spans="1:6" ht="18">
      <c r="A33" s="219" t="s">
        <v>40</v>
      </c>
      <c r="B33" s="219"/>
      <c r="C33" s="219"/>
      <c r="D33" s="219"/>
      <c r="E33" s="219"/>
      <c r="F33" s="219"/>
    </row>
    <row r="34" ht="13.5" thickBot="1">
      <c r="A34" s="73"/>
    </row>
    <row r="35" spans="1:4" ht="13.5" thickBot="1">
      <c r="A35" s="220" t="s">
        <v>41</v>
      </c>
      <c r="B35" s="221"/>
      <c r="C35" s="221"/>
      <c r="D35" s="222"/>
    </row>
    <row r="36" spans="1:4" ht="12.75">
      <c r="A36" s="3" t="s">
        <v>43</v>
      </c>
      <c r="B36" s="5" t="s">
        <v>42</v>
      </c>
      <c r="C36" s="3" t="s">
        <v>45</v>
      </c>
      <c r="D36" s="10" t="s">
        <v>44</v>
      </c>
    </row>
    <row r="37" spans="1:4" ht="13.5" thickBot="1">
      <c r="A37" s="76">
        <v>20</v>
      </c>
      <c r="B37" s="77">
        <v>50</v>
      </c>
      <c r="C37" s="26">
        <f>A37^2*B37/1000</f>
        <v>20</v>
      </c>
      <c r="D37" s="25">
        <f>C37/1000</f>
        <v>0.02</v>
      </c>
    </row>
    <row r="38" ht="13.5" thickBot="1"/>
    <row r="39" spans="1:4" ht="13.5" thickBot="1">
      <c r="A39" s="220" t="s">
        <v>46</v>
      </c>
      <c r="B39" s="221"/>
      <c r="C39" s="221"/>
      <c r="D39" s="222"/>
    </row>
    <row r="40" spans="1:4" ht="12.75">
      <c r="A40" s="21" t="s">
        <v>47</v>
      </c>
      <c r="B40" s="5" t="s">
        <v>42</v>
      </c>
      <c r="C40" s="21" t="s">
        <v>43</v>
      </c>
      <c r="D40" s="10"/>
    </row>
    <row r="41" spans="1:4" ht="13.5" thickBot="1">
      <c r="A41" s="76">
        <v>55</v>
      </c>
      <c r="B41" s="77">
        <v>250</v>
      </c>
      <c r="C41" s="22">
        <f>(A41*1000/B41)^0.5</f>
        <v>14.832396974191326</v>
      </c>
      <c r="D41" s="13"/>
    </row>
    <row r="42" ht="13.5" thickBot="1"/>
    <row r="43" spans="1:4" ht="13.5" thickBot="1">
      <c r="A43" s="220" t="s">
        <v>48</v>
      </c>
      <c r="B43" s="221"/>
      <c r="C43" s="221"/>
      <c r="D43" s="222"/>
    </row>
    <row r="44" spans="1:4" ht="12.75">
      <c r="A44" s="3" t="s">
        <v>49</v>
      </c>
      <c r="B44" s="5" t="s">
        <v>51</v>
      </c>
      <c r="C44" s="3" t="s">
        <v>50</v>
      </c>
      <c r="D44" s="10"/>
    </row>
    <row r="45" spans="1:4" ht="13.5" thickBot="1">
      <c r="A45" s="76">
        <v>10</v>
      </c>
      <c r="B45" s="77">
        <v>20</v>
      </c>
      <c r="C45" s="22">
        <f>1000*B45/A45^2</f>
        <v>200</v>
      </c>
      <c r="D45" s="13"/>
    </row>
    <row r="46" ht="13.5" thickBot="1"/>
    <row r="47" spans="1:6" ht="13.5" thickBot="1">
      <c r="A47" s="75" t="s">
        <v>97</v>
      </c>
      <c r="B47" s="31"/>
      <c r="C47" s="31"/>
      <c r="D47" s="32"/>
      <c r="E47" s="36"/>
      <c r="F47" s="36"/>
    </row>
    <row r="48" spans="1:6" ht="12.75">
      <c r="A48" s="21" t="s">
        <v>88</v>
      </c>
      <c r="B48" s="27" t="s">
        <v>89</v>
      </c>
      <c r="C48" s="21" t="s">
        <v>90</v>
      </c>
      <c r="D48" s="27" t="s">
        <v>91</v>
      </c>
      <c r="E48" s="24" t="s">
        <v>95</v>
      </c>
      <c r="F48" s="21" t="s">
        <v>96</v>
      </c>
    </row>
    <row r="49" spans="1:6" ht="13.5" thickBot="1">
      <c r="A49" s="76">
        <v>2.1</v>
      </c>
      <c r="B49" s="77">
        <v>15</v>
      </c>
      <c r="C49" s="76">
        <v>0.28</v>
      </c>
      <c r="D49" s="77">
        <v>145</v>
      </c>
      <c r="E49" s="74">
        <f>ROUND((B49^2*D49*10^-6/(C49^2*A49*10^-4)*1.2*10^-6*10^3),2)</f>
        <v>2.38</v>
      </c>
      <c r="F49" s="26">
        <f>ROUND(((E49*10^-3*D49*10^-6/(A49*10^-4)/(1.2*10^-6))^0.5),2)</f>
        <v>37.01</v>
      </c>
    </row>
    <row r="50" ht="13.5" thickBot="1"/>
    <row r="51" spans="1:4" ht="13.5" thickBot="1">
      <c r="A51" s="220" t="s">
        <v>92</v>
      </c>
      <c r="B51" s="221"/>
      <c r="C51" s="221"/>
      <c r="D51" s="222"/>
    </row>
    <row r="52" spans="1:4" ht="12.75">
      <c r="A52" s="3" t="s">
        <v>88</v>
      </c>
      <c r="B52" s="5" t="s">
        <v>93</v>
      </c>
      <c r="C52" s="21" t="s">
        <v>121</v>
      </c>
      <c r="D52" s="3" t="s">
        <v>94</v>
      </c>
    </row>
    <row r="53" spans="1:4" ht="13.5" thickBot="1">
      <c r="A53" s="76">
        <v>2.1</v>
      </c>
      <c r="B53" s="77">
        <v>2</v>
      </c>
      <c r="C53" s="76">
        <v>200</v>
      </c>
      <c r="D53" s="26">
        <f>ROUND(((B53*10^-3*C53*10^-6/(A53*10^-4)/(1.2*10^-6))^0.5),2)</f>
        <v>39.84</v>
      </c>
    </row>
    <row r="54" ht="13.5" thickBot="1"/>
    <row r="55" spans="1:5" ht="13.5" thickBot="1">
      <c r="A55" s="220" t="s">
        <v>111</v>
      </c>
      <c r="B55" s="221"/>
      <c r="C55" s="221"/>
      <c r="D55" s="221"/>
      <c r="E55" s="222"/>
    </row>
    <row r="56" spans="1:6" s="91" customFormat="1" ht="25.5">
      <c r="A56" s="93" t="s">
        <v>113</v>
      </c>
      <c r="B56" s="94" t="s">
        <v>114</v>
      </c>
      <c r="C56" s="95" t="s">
        <v>112</v>
      </c>
      <c r="D56" s="94" t="s">
        <v>115</v>
      </c>
      <c r="E56" s="96" t="s">
        <v>117</v>
      </c>
      <c r="F56" s="100"/>
    </row>
    <row r="57" spans="1:5" s="2" customFormat="1" ht="13.5" thickBot="1">
      <c r="A57" s="97">
        <v>60</v>
      </c>
      <c r="B57" s="98">
        <v>4</v>
      </c>
      <c r="C57" s="99">
        <v>0.9</v>
      </c>
      <c r="D57" s="98">
        <v>0.5</v>
      </c>
      <c r="E57" s="90">
        <f>(10^-5*B57^2*A57*1.2/C57/D57)^0.5</f>
        <v>0.16</v>
      </c>
    </row>
    <row r="58" spans="2:3" ht="13.5" thickBot="1">
      <c r="B58"/>
      <c r="C58"/>
    </row>
    <row r="59" spans="1:5" ht="13.5" thickBot="1">
      <c r="A59" s="220" t="s">
        <v>127</v>
      </c>
      <c r="B59" s="221"/>
      <c r="C59" s="221"/>
      <c r="D59" s="221"/>
      <c r="E59" s="222"/>
    </row>
    <row r="60" spans="1:6" ht="25.5">
      <c r="A60" s="115" t="s">
        <v>123</v>
      </c>
      <c r="B60" s="113" t="s">
        <v>122</v>
      </c>
      <c r="C60" s="114" t="s">
        <v>112</v>
      </c>
      <c r="D60" s="113" t="s">
        <v>115</v>
      </c>
      <c r="E60" s="110" t="s">
        <v>124</v>
      </c>
      <c r="F60" s="100" t="s">
        <v>116</v>
      </c>
    </row>
    <row r="61" spans="1:5" ht="13.5" thickBot="1">
      <c r="A61" s="97">
        <v>200</v>
      </c>
      <c r="B61" s="98">
        <v>0.28</v>
      </c>
      <c r="C61" s="111">
        <v>2.1</v>
      </c>
      <c r="D61" s="112">
        <v>2</v>
      </c>
      <c r="E61" s="117">
        <f>(C61*D61*B61^2/A61/1.2/10^-8)^0.5</f>
        <v>370.4051835490427</v>
      </c>
    </row>
    <row r="62" spans="1:6" ht="25.5">
      <c r="A62" s="109"/>
      <c r="B62" s="109"/>
      <c r="C62" s="94" t="s">
        <v>125</v>
      </c>
      <c r="D62" s="21" t="s">
        <v>43</v>
      </c>
      <c r="E62" s="110" t="s">
        <v>126</v>
      </c>
      <c r="F62" s="100" t="s">
        <v>128</v>
      </c>
    </row>
    <row r="63" spans="1:5" ht="13.5" thickBot="1">
      <c r="A63" s="109"/>
      <c r="B63" s="109"/>
      <c r="C63" s="98">
        <v>15</v>
      </c>
      <c r="D63" s="116">
        <f>ROUNDDOWN(E61/C63,0)</f>
        <v>24</v>
      </c>
      <c r="E63" s="118">
        <f>D63^2*A61*10^-3</f>
        <v>115.2</v>
      </c>
    </row>
    <row r="64" ht="13.5" thickBot="1"/>
    <row r="65" spans="1:5" ht="13.5" thickBot="1">
      <c r="A65" s="220" t="s">
        <v>52</v>
      </c>
      <c r="B65" s="221"/>
      <c r="C65" s="221"/>
      <c r="D65" s="221"/>
      <c r="E65" s="32"/>
    </row>
    <row r="66" spans="1:5" ht="12.75">
      <c r="A66" s="24" t="s">
        <v>53</v>
      </c>
      <c r="B66" s="21" t="s">
        <v>43</v>
      </c>
      <c r="C66" s="27" t="s">
        <v>54</v>
      </c>
      <c r="D66" s="21" t="s">
        <v>56</v>
      </c>
      <c r="E66" s="28" t="s">
        <v>55</v>
      </c>
    </row>
    <row r="67" spans="1:5" ht="13.5" thickBot="1">
      <c r="A67" s="78">
        <v>550</v>
      </c>
      <c r="B67" s="76">
        <v>1000</v>
      </c>
      <c r="C67" s="77">
        <v>63</v>
      </c>
      <c r="D67" s="159">
        <f>E67*(C67*B67)^2/A67</f>
        <v>6.8916272727272725</v>
      </c>
      <c r="E67" s="29">
        <v>9.55E-07</v>
      </c>
    </row>
  </sheetData>
  <sheetProtection password="E491" sheet="1" objects="1" scenarios="1"/>
  <mergeCells count="15">
    <mergeCell ref="A51:D51"/>
    <mergeCell ref="A65:D65"/>
    <mergeCell ref="A43:D43"/>
    <mergeCell ref="A55:E55"/>
    <mergeCell ref="A59:E59"/>
    <mergeCell ref="A1:E1"/>
    <mergeCell ref="A33:F33"/>
    <mergeCell ref="A35:D35"/>
    <mergeCell ref="A39:D39"/>
    <mergeCell ref="E24:F24"/>
    <mergeCell ref="A23:F23"/>
    <mergeCell ref="A15:D15"/>
    <mergeCell ref="A29:E29"/>
    <mergeCell ref="A3:F3"/>
    <mergeCell ref="A9:F9"/>
  </mergeCells>
  <hyperlinks>
    <hyperlink ref="F1" r:id="rId1" display="http://skory.gylcomp.h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5"/>
  <sheetViews>
    <sheetView workbookViewId="0" topLeftCell="A1">
      <selection activeCell="B7" sqref="B7"/>
    </sheetView>
  </sheetViews>
  <sheetFormatPr defaultColWidth="9.00390625" defaultRowHeight="12.75"/>
  <cols>
    <col min="1" max="1" width="2.25390625" style="0" customWidth="1"/>
    <col min="2" max="2" width="9.625" style="0" customWidth="1"/>
    <col min="3" max="3" width="4.25390625" style="34" customWidth="1"/>
    <col min="4" max="4" width="10.375" style="0" customWidth="1"/>
    <col min="5" max="5" width="4.375" style="0" customWidth="1"/>
    <col min="6" max="6" width="13.75390625" style="0" bestFit="1" customWidth="1"/>
    <col min="7" max="7" width="6.25390625" style="0" customWidth="1"/>
    <col min="8" max="8" width="2.625" style="14" customWidth="1"/>
    <col min="10" max="10" width="6.625" style="0" customWidth="1"/>
    <col min="12" max="12" width="4.00390625" style="0" customWidth="1"/>
  </cols>
  <sheetData>
    <row r="1" ht="13.5" thickBot="1"/>
    <row r="2" spans="2:8" ht="18.75" thickBot="1">
      <c r="B2" s="239" t="s">
        <v>60</v>
      </c>
      <c r="C2" s="240"/>
      <c r="D2" s="240"/>
      <c r="E2" s="240"/>
      <c r="F2" s="240"/>
      <c r="G2" s="241"/>
      <c r="H2" s="35"/>
    </row>
    <row r="3" spans="2:14" ht="13.5" thickBot="1">
      <c r="B3" s="236" t="s">
        <v>61</v>
      </c>
      <c r="C3" s="237"/>
      <c r="D3" s="236" t="s">
        <v>62</v>
      </c>
      <c r="E3" s="237"/>
      <c r="F3" s="236" t="s">
        <v>13</v>
      </c>
      <c r="G3" s="237"/>
      <c r="H3" s="36"/>
      <c r="I3" s="242" t="s">
        <v>226</v>
      </c>
      <c r="J3" s="243"/>
      <c r="M3" s="242" t="s">
        <v>63</v>
      </c>
      <c r="N3" s="243"/>
    </row>
    <row r="4" spans="2:13" ht="13.5" hidden="1" thickBot="1">
      <c r="B4" s="37">
        <f>B5*10^-12+B6*10^-9+B7*10^-6</f>
        <v>3.3E-07</v>
      </c>
      <c r="C4" s="38" t="s">
        <v>13</v>
      </c>
      <c r="D4" s="37">
        <f>D5*10^-9+D6*10^-6+D7*10^-3</f>
        <v>0.000112</v>
      </c>
      <c r="E4" s="38" t="s">
        <v>64</v>
      </c>
      <c r="F4" s="37">
        <f>IF((B4*D4)=0,0,1/(2*PI()*(B4*D4)^0.5))</f>
        <v>26179.06614213453</v>
      </c>
      <c r="G4" s="38" t="s">
        <v>65</v>
      </c>
      <c r="H4" s="36"/>
      <c r="I4" s="39">
        <f>IF(B4*D4=0,0,(D4/B4)^0.5)</f>
        <v>18.42264745887353</v>
      </c>
      <c r="J4" s="197"/>
      <c r="M4" s="40" t="s">
        <v>66</v>
      </c>
    </row>
    <row r="5" spans="2:14" ht="12.75">
      <c r="B5" s="79"/>
      <c r="C5" s="38" t="s">
        <v>67</v>
      </c>
      <c r="D5" s="79"/>
      <c r="E5" s="41" t="s">
        <v>68</v>
      </c>
      <c r="F5" s="42">
        <f>F4</f>
        <v>26179.06614213453</v>
      </c>
      <c r="G5" s="41" t="s">
        <v>65</v>
      </c>
      <c r="H5" s="43"/>
      <c r="I5" s="198">
        <f>1/F5</f>
        <v>3.819845958487136E-05</v>
      </c>
      <c r="J5" s="46" t="s">
        <v>229</v>
      </c>
      <c r="M5" s="44">
        <f>I4</f>
        <v>18.42264745887353</v>
      </c>
      <c r="N5" s="40" t="s">
        <v>66</v>
      </c>
    </row>
    <row r="6" spans="2:14" ht="12.75">
      <c r="B6" s="80">
        <v>330</v>
      </c>
      <c r="C6" s="45" t="s">
        <v>69</v>
      </c>
      <c r="D6" s="80">
        <v>112</v>
      </c>
      <c r="E6" s="46" t="s">
        <v>70</v>
      </c>
      <c r="F6" s="47">
        <f>F5/1000</f>
        <v>26.179066142134527</v>
      </c>
      <c r="G6" s="46" t="s">
        <v>71</v>
      </c>
      <c r="H6" s="43"/>
      <c r="I6" s="198">
        <f>1/F6</f>
        <v>0.038198459584871364</v>
      </c>
      <c r="J6" s="46" t="s">
        <v>228</v>
      </c>
      <c r="M6" s="44">
        <f>M5/1000</f>
        <v>0.01842264745887353</v>
      </c>
      <c r="N6" s="40" t="s">
        <v>72</v>
      </c>
    </row>
    <row r="7" spans="2:14" ht="13.5" thickBot="1">
      <c r="B7" s="81"/>
      <c r="C7" s="48" t="s">
        <v>73</v>
      </c>
      <c r="D7" s="81"/>
      <c r="E7" s="49" t="s">
        <v>74</v>
      </c>
      <c r="F7" s="50">
        <f>F6/1000</f>
        <v>0.026179066142134527</v>
      </c>
      <c r="G7" s="49" t="s">
        <v>75</v>
      </c>
      <c r="H7" s="43"/>
      <c r="I7" s="199">
        <f>1/F7</f>
        <v>38.198459584871365</v>
      </c>
      <c r="J7" s="49" t="s">
        <v>227</v>
      </c>
      <c r="M7" s="51">
        <f>M6/1000</f>
        <v>1.842264745887353E-05</v>
      </c>
      <c r="N7" s="52" t="s">
        <v>76</v>
      </c>
    </row>
    <row r="8" ht="13.5" thickBot="1"/>
    <row r="9" spans="2:8" ht="18.75" thickBot="1">
      <c r="B9" s="239" t="s">
        <v>77</v>
      </c>
      <c r="C9" s="240"/>
      <c r="D9" s="240"/>
      <c r="E9" s="240"/>
      <c r="F9" s="240"/>
      <c r="G9" s="241"/>
      <c r="H9" s="35"/>
    </row>
    <row r="10" spans="2:8" ht="13.5" thickBot="1">
      <c r="B10" s="236" t="s">
        <v>13</v>
      </c>
      <c r="C10" s="237"/>
      <c r="D10" s="236" t="s">
        <v>62</v>
      </c>
      <c r="E10" s="237"/>
      <c r="F10" s="236" t="s">
        <v>61</v>
      </c>
      <c r="G10" s="237"/>
      <c r="H10" s="36"/>
    </row>
    <row r="11" spans="2:8" ht="13.5" hidden="1" thickBot="1">
      <c r="B11" s="37">
        <f>B12+B13*10^3+B14*10^6</f>
        <v>50</v>
      </c>
      <c r="C11" s="53" t="s">
        <v>65</v>
      </c>
      <c r="D11" s="37">
        <f>D12*10^-9+D13*10^-6+D14*10^-3</f>
        <v>0.76</v>
      </c>
      <c r="E11" s="53" t="s">
        <v>64</v>
      </c>
      <c r="F11" s="37">
        <f>IF(B11*D11=0,0,1/(D11*(2*PI()*B11)^2))</f>
        <v>1.3331734689781285E-05</v>
      </c>
      <c r="G11" s="53" t="s">
        <v>13</v>
      </c>
      <c r="H11" s="36"/>
    </row>
    <row r="12" spans="2:8" ht="12.75">
      <c r="B12" s="82">
        <v>50</v>
      </c>
      <c r="C12" s="54" t="s">
        <v>65</v>
      </c>
      <c r="D12" s="79"/>
      <c r="E12" s="54" t="s">
        <v>68</v>
      </c>
      <c r="F12" s="55">
        <f>F11*10^12</f>
        <v>13331734.689781286</v>
      </c>
      <c r="G12" s="56" t="s">
        <v>67</v>
      </c>
      <c r="H12" s="57"/>
    </row>
    <row r="13" spans="2:8" ht="12.75">
      <c r="B13" s="83"/>
      <c r="C13" s="58" t="s">
        <v>71</v>
      </c>
      <c r="D13" s="80"/>
      <c r="E13" s="58" t="s">
        <v>70</v>
      </c>
      <c r="F13" s="59">
        <f>F12/1000</f>
        <v>13331.734689781286</v>
      </c>
      <c r="G13" s="60" t="s">
        <v>69</v>
      </c>
      <c r="H13" s="57"/>
    </row>
    <row r="14" spans="2:8" ht="13.5" thickBot="1">
      <c r="B14" s="33"/>
      <c r="C14" s="61" t="s">
        <v>75</v>
      </c>
      <c r="D14" s="81">
        <v>760</v>
      </c>
      <c r="E14" s="61" t="s">
        <v>74</v>
      </c>
      <c r="F14" s="62">
        <f>F13/1000</f>
        <v>13.331734689781285</v>
      </c>
      <c r="G14" s="63" t="s">
        <v>73</v>
      </c>
      <c r="H14" s="57"/>
    </row>
    <row r="15" ht="13.5" thickBot="1"/>
    <row r="16" spans="2:8" ht="18.75" thickBot="1">
      <c r="B16" s="239" t="s">
        <v>78</v>
      </c>
      <c r="C16" s="240"/>
      <c r="D16" s="240"/>
      <c r="E16" s="240"/>
      <c r="F16" s="240"/>
      <c r="G16" s="241"/>
      <c r="H16" s="35"/>
    </row>
    <row r="17" spans="2:8" ht="13.5" thickBot="1">
      <c r="B17" s="236" t="s">
        <v>13</v>
      </c>
      <c r="C17" s="237"/>
      <c r="D17" s="236" t="s">
        <v>61</v>
      </c>
      <c r="E17" s="237"/>
      <c r="F17" s="236" t="s">
        <v>62</v>
      </c>
      <c r="G17" s="237"/>
      <c r="H17" s="36"/>
    </row>
    <row r="18" spans="2:8" ht="13.5" hidden="1" thickBot="1">
      <c r="B18" s="37">
        <f>B19+B20*10^3+B21*10^6</f>
        <v>33000</v>
      </c>
      <c r="C18" s="53" t="s">
        <v>65</v>
      </c>
      <c r="D18" s="37">
        <f>D19*10^-12+D20*10^-9+D21*10^-6</f>
        <v>1.5100000000000002E-07</v>
      </c>
      <c r="E18" s="53" t="s">
        <v>13</v>
      </c>
      <c r="F18" s="37">
        <f>IF(B18*D18=0,0,1/(D18*(2*PI()*B18)^2))</f>
        <v>0.00015404068323563412</v>
      </c>
      <c r="G18" s="53" t="s">
        <v>64</v>
      </c>
      <c r="H18" s="36"/>
    </row>
    <row r="19" spans="2:8" ht="12.75">
      <c r="B19" s="82"/>
      <c r="C19" s="54" t="s">
        <v>65</v>
      </c>
      <c r="D19" s="79"/>
      <c r="E19" s="64" t="s">
        <v>67</v>
      </c>
      <c r="F19" s="55">
        <f>F18*10^9</f>
        <v>154040.68323563412</v>
      </c>
      <c r="G19" s="54" t="s">
        <v>68</v>
      </c>
      <c r="H19" s="43"/>
    </row>
    <row r="20" spans="2:8" ht="12.75">
      <c r="B20" s="83">
        <v>33</v>
      </c>
      <c r="C20" s="58" t="s">
        <v>71</v>
      </c>
      <c r="D20" s="80">
        <v>151</v>
      </c>
      <c r="E20" s="40" t="s">
        <v>69</v>
      </c>
      <c r="F20" s="59">
        <f>F19/1000</f>
        <v>154.0406832356341</v>
      </c>
      <c r="G20" s="58" t="s">
        <v>70</v>
      </c>
      <c r="H20" s="43"/>
    </row>
    <row r="21" spans="2:8" ht="13.5" thickBot="1">
      <c r="B21" s="33"/>
      <c r="C21" s="61" t="s">
        <v>75</v>
      </c>
      <c r="D21" s="81"/>
      <c r="E21" s="52" t="s">
        <v>73</v>
      </c>
      <c r="F21" s="62">
        <f>F20/1000</f>
        <v>0.1540406832356341</v>
      </c>
      <c r="G21" s="61" t="s">
        <v>74</v>
      </c>
      <c r="H21" s="43"/>
    </row>
    <row r="22" ht="13.5" thickBot="1">
      <c r="H22" s="43"/>
    </row>
    <row r="23" spans="2:8" ht="21" thickBot="1">
      <c r="B23" s="233" t="s">
        <v>79</v>
      </c>
      <c r="C23" s="234"/>
      <c r="D23" s="234"/>
      <c r="E23" s="234"/>
      <c r="F23" s="234"/>
      <c r="G23" s="235"/>
      <c r="H23" s="43"/>
    </row>
    <row r="24" spans="2:12" ht="13.5" thickBot="1">
      <c r="B24" s="231" t="s">
        <v>61</v>
      </c>
      <c r="C24" s="238"/>
      <c r="D24" s="231" t="s">
        <v>13</v>
      </c>
      <c r="E24" s="232"/>
      <c r="F24" s="231" t="s">
        <v>80</v>
      </c>
      <c r="G24" s="232"/>
      <c r="H24" s="43"/>
      <c r="I24" s="231" t="s">
        <v>81</v>
      </c>
      <c r="J24" s="232"/>
      <c r="K24" s="231" t="s">
        <v>82</v>
      </c>
      <c r="L24" s="232"/>
    </row>
    <row r="25" spans="2:12" ht="12.75" hidden="1">
      <c r="B25" s="37">
        <f>B26*10^-12+B27*10^-9+B28*10^-6</f>
        <v>1E-09</v>
      </c>
      <c r="C25" s="65" t="s">
        <v>13</v>
      </c>
      <c r="D25" s="37">
        <f>D26+D27*10^3+D28*10^6</f>
        <v>1000</v>
      </c>
      <c r="E25" s="66" t="s">
        <v>65</v>
      </c>
      <c r="F25" s="67">
        <f>IF(B25*D25=0,0,1/(2*PI()*B25*D25))</f>
        <v>159154.94309189534</v>
      </c>
      <c r="G25" s="58" t="s">
        <v>66</v>
      </c>
      <c r="H25" s="43"/>
      <c r="I25" s="39"/>
      <c r="J25" s="66"/>
      <c r="K25" s="39"/>
      <c r="L25" s="66"/>
    </row>
    <row r="26" spans="2:12" ht="12.75">
      <c r="B26" s="80"/>
      <c r="C26" s="68" t="s">
        <v>67</v>
      </c>
      <c r="D26" s="80"/>
      <c r="E26" s="40" t="s">
        <v>65</v>
      </c>
      <c r="F26" s="59">
        <f>F25</f>
        <v>159154.94309189534</v>
      </c>
      <c r="G26" s="40" t="s">
        <v>66</v>
      </c>
      <c r="H26" s="36"/>
      <c r="I26" s="85">
        <v>17500</v>
      </c>
      <c r="J26" s="66" t="s">
        <v>83</v>
      </c>
      <c r="K26" s="59">
        <f>I26/F26</f>
        <v>0.10995574287564276</v>
      </c>
      <c r="L26" s="66" t="s">
        <v>12</v>
      </c>
    </row>
    <row r="27" spans="2:12" ht="12.75">
      <c r="B27" s="80">
        <v>1</v>
      </c>
      <c r="C27" s="68" t="s">
        <v>69</v>
      </c>
      <c r="D27" s="80">
        <v>1</v>
      </c>
      <c r="E27" s="40" t="s">
        <v>71</v>
      </c>
      <c r="F27" s="59">
        <f>F26/1000</f>
        <v>159.15494309189535</v>
      </c>
      <c r="G27" s="40" t="s">
        <v>72</v>
      </c>
      <c r="H27" s="36"/>
      <c r="I27" s="69">
        <f>I26/1000</f>
        <v>17.5</v>
      </c>
      <c r="J27" s="66" t="s">
        <v>84</v>
      </c>
      <c r="K27" s="59">
        <f>K26*1000</f>
        <v>109.95574287564276</v>
      </c>
      <c r="L27" s="66" t="s">
        <v>85</v>
      </c>
    </row>
    <row r="28" spans="2:12" ht="13.5" thickBot="1">
      <c r="B28" s="84"/>
      <c r="C28" s="70" t="s">
        <v>73</v>
      </c>
      <c r="D28" s="84"/>
      <c r="E28" s="52" t="s">
        <v>75</v>
      </c>
      <c r="F28" s="62">
        <f>F27/1000</f>
        <v>0.15915494309189535</v>
      </c>
      <c r="G28" s="52" t="s">
        <v>76</v>
      </c>
      <c r="H28" s="43"/>
      <c r="I28" s="71"/>
      <c r="J28" s="61"/>
      <c r="K28" s="71"/>
      <c r="L28" s="61"/>
    </row>
    <row r="29" ht="13.5" thickBot="1">
      <c r="H29" s="43"/>
    </row>
    <row r="30" spans="2:8" ht="21" thickBot="1">
      <c r="B30" s="233" t="s">
        <v>86</v>
      </c>
      <c r="C30" s="234"/>
      <c r="D30" s="234"/>
      <c r="E30" s="234"/>
      <c r="F30" s="234"/>
      <c r="G30" s="235"/>
      <c r="H30" s="43"/>
    </row>
    <row r="31" spans="2:8" ht="13.5" thickBot="1">
      <c r="B31" s="236" t="s">
        <v>62</v>
      </c>
      <c r="C31" s="237"/>
      <c r="D31" s="231" t="s">
        <v>13</v>
      </c>
      <c r="E31" s="232"/>
      <c r="F31" s="231" t="s">
        <v>87</v>
      </c>
      <c r="G31" s="232"/>
      <c r="H31" s="43"/>
    </row>
    <row r="32" spans="2:7" ht="13.5" hidden="1" thickBot="1">
      <c r="B32" s="37">
        <f>B33*10^-9+B34*10^-6+B35*10^-3</f>
        <v>0.76</v>
      </c>
      <c r="C32" s="53" t="s">
        <v>64</v>
      </c>
      <c r="D32" s="37">
        <f>D33+D34*10^3+D35*10^6</f>
        <v>50</v>
      </c>
      <c r="E32" s="66" t="s">
        <v>65</v>
      </c>
      <c r="F32" s="72">
        <f>2*PI()*D32*B32</f>
        <v>238.7610416728243</v>
      </c>
      <c r="G32" s="64" t="s">
        <v>66</v>
      </c>
    </row>
    <row r="33" spans="2:7" ht="12.75">
      <c r="B33" s="79"/>
      <c r="C33" s="54" t="s">
        <v>68</v>
      </c>
      <c r="D33" s="80">
        <v>50</v>
      </c>
      <c r="E33" s="40" t="s">
        <v>65</v>
      </c>
      <c r="F33" s="44">
        <f>F32</f>
        <v>238.7610416728243</v>
      </c>
      <c r="G33" s="40" t="s">
        <v>66</v>
      </c>
    </row>
    <row r="34" spans="2:7" ht="12.75">
      <c r="B34" s="80"/>
      <c r="C34" s="58" t="s">
        <v>70</v>
      </c>
      <c r="D34" s="80"/>
      <c r="E34" s="40" t="s">
        <v>71</v>
      </c>
      <c r="F34" s="44">
        <f>F33/1000</f>
        <v>0.2387610416728243</v>
      </c>
      <c r="G34" s="40" t="s">
        <v>72</v>
      </c>
    </row>
    <row r="35" spans="2:7" ht="13.5" thickBot="1">
      <c r="B35" s="81">
        <v>760</v>
      </c>
      <c r="C35" s="61" t="s">
        <v>74</v>
      </c>
      <c r="D35" s="84"/>
      <c r="E35" s="52" t="s">
        <v>75</v>
      </c>
      <c r="F35" s="51">
        <f>F34/1000</f>
        <v>0.0002387610416728243</v>
      </c>
      <c r="G35" s="52" t="s">
        <v>76</v>
      </c>
    </row>
  </sheetData>
  <mergeCells count="24">
    <mergeCell ref="B2:G2"/>
    <mergeCell ref="B3:C3"/>
    <mergeCell ref="D3:E3"/>
    <mergeCell ref="F3:G3"/>
    <mergeCell ref="M3:N3"/>
    <mergeCell ref="B9:G9"/>
    <mergeCell ref="B10:C10"/>
    <mergeCell ref="D10:E10"/>
    <mergeCell ref="F10:G10"/>
    <mergeCell ref="I3:J3"/>
    <mergeCell ref="B16:G16"/>
    <mergeCell ref="B17:C17"/>
    <mergeCell ref="D17:E17"/>
    <mergeCell ref="F17:G17"/>
    <mergeCell ref="B23:G23"/>
    <mergeCell ref="B24:C24"/>
    <mergeCell ref="D24:E24"/>
    <mergeCell ref="F24:G24"/>
    <mergeCell ref="I24:J24"/>
    <mergeCell ref="K24:L24"/>
    <mergeCell ref="B30:G30"/>
    <mergeCell ref="B31:C31"/>
    <mergeCell ref="D31:E31"/>
    <mergeCell ref="F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2.125" style="146" customWidth="1"/>
    <col min="2" max="2" width="15.375" style="146" customWidth="1"/>
    <col min="3" max="3" width="14.25390625" style="146" customWidth="1"/>
    <col min="4" max="4" width="16.00390625" style="146" customWidth="1"/>
    <col min="5" max="5" width="14.75390625" style="146" customWidth="1"/>
    <col min="6" max="6" width="19.125" style="146" customWidth="1"/>
    <col min="7" max="7" width="23.00390625" style="146" customWidth="1"/>
    <col min="8" max="8" width="14.25390625" style="146" customWidth="1"/>
    <col min="9" max="9" width="14.125" style="146" customWidth="1"/>
    <col min="10" max="16384" width="9.125" style="146" customWidth="1"/>
  </cols>
  <sheetData>
    <row r="2" spans="2:9" ht="20.25">
      <c r="B2" s="213" t="s">
        <v>150</v>
      </c>
      <c r="C2" s="213"/>
      <c r="D2" s="213"/>
      <c r="E2" s="213"/>
      <c r="F2" s="213"/>
      <c r="G2" s="213"/>
      <c r="H2" s="213"/>
      <c r="I2" s="213"/>
    </row>
    <row r="3" ht="13.5" thickBot="1"/>
    <row r="4" spans="2:9" ht="12.75">
      <c r="B4" s="244" t="s">
        <v>151</v>
      </c>
      <c r="C4" s="245"/>
      <c r="D4" s="245"/>
      <c r="E4" s="244" t="s">
        <v>152</v>
      </c>
      <c r="F4" s="245"/>
      <c r="G4" s="245"/>
      <c r="H4" s="247" t="s">
        <v>153</v>
      </c>
      <c r="I4" s="248"/>
    </row>
    <row r="5" spans="2:9" ht="27" customHeight="1">
      <c r="B5" s="147" t="s">
        <v>154</v>
      </c>
      <c r="C5" s="148" t="s">
        <v>155</v>
      </c>
      <c r="D5" s="148" t="s">
        <v>156</v>
      </c>
      <c r="E5" s="147" t="s">
        <v>157</v>
      </c>
      <c r="F5" s="148" t="s">
        <v>158</v>
      </c>
      <c r="G5" s="148" t="s">
        <v>159</v>
      </c>
      <c r="H5" s="249"/>
      <c r="I5" s="250"/>
    </row>
    <row r="6" spans="2:9" ht="12.75">
      <c r="B6" s="149" t="s">
        <v>160</v>
      </c>
      <c r="C6" s="150" t="s">
        <v>161</v>
      </c>
      <c r="D6" s="150" t="s">
        <v>162</v>
      </c>
      <c r="E6" s="151" t="s">
        <v>163</v>
      </c>
      <c r="F6" s="152" t="s">
        <v>164</v>
      </c>
      <c r="G6" s="152" t="s">
        <v>165</v>
      </c>
      <c r="H6" s="249"/>
      <c r="I6" s="250"/>
    </row>
    <row r="7" spans="2:9" ht="13.5" thickBot="1">
      <c r="B7" s="144">
        <v>400</v>
      </c>
      <c r="C7" s="145">
        <v>60</v>
      </c>
      <c r="D7" s="145">
        <v>290</v>
      </c>
      <c r="E7" s="153">
        <f>24*(D7^2)/B7/C7</f>
        <v>84.1</v>
      </c>
      <c r="F7" s="154">
        <f>10^9/E7/(2*PI()*C7)^2</f>
        <v>83.66460533288563</v>
      </c>
      <c r="G7" s="154">
        <f>1000*D7/C7/E7/8</f>
        <v>7.183908045977011</v>
      </c>
      <c r="H7" s="249"/>
      <c r="I7" s="250"/>
    </row>
    <row r="8" spans="2:9" ht="12.75">
      <c r="B8" s="155"/>
      <c r="C8" s="155"/>
      <c r="D8" s="155"/>
      <c r="E8" s="156"/>
      <c r="F8" s="156"/>
      <c r="G8" s="156"/>
      <c r="H8" s="249"/>
      <c r="I8" s="250"/>
    </row>
    <row r="9" spans="2:9" ht="13.5" thickBot="1">
      <c r="B9" s="157"/>
      <c r="C9" s="157"/>
      <c r="D9" s="157"/>
      <c r="E9" s="157"/>
      <c r="F9" s="157"/>
      <c r="G9" s="157"/>
      <c r="H9" s="249"/>
      <c r="I9" s="250"/>
    </row>
    <row r="10" spans="2:9" ht="12.75">
      <c r="B10" s="244" t="s">
        <v>151</v>
      </c>
      <c r="C10" s="245"/>
      <c r="D10" s="245"/>
      <c r="E10" s="244" t="s">
        <v>152</v>
      </c>
      <c r="F10" s="245"/>
      <c r="G10" s="245"/>
      <c r="H10" s="249"/>
      <c r="I10" s="250"/>
    </row>
    <row r="11" spans="2:9" ht="25.5" customHeight="1">
      <c r="B11" s="147" t="s">
        <v>166</v>
      </c>
      <c r="C11" s="148" t="s">
        <v>155</v>
      </c>
      <c r="D11" s="148" t="s">
        <v>156</v>
      </c>
      <c r="E11" s="147" t="s">
        <v>167</v>
      </c>
      <c r="F11" s="148" t="s">
        <v>158</v>
      </c>
      <c r="G11" s="148" t="s">
        <v>159</v>
      </c>
      <c r="H11" s="249"/>
      <c r="I11" s="250"/>
    </row>
    <row r="12" spans="2:9" ht="12.75">
      <c r="B12" s="149" t="s">
        <v>163</v>
      </c>
      <c r="C12" s="150" t="s">
        <v>161</v>
      </c>
      <c r="D12" s="150" t="s">
        <v>162</v>
      </c>
      <c r="E12" s="151" t="s">
        <v>160</v>
      </c>
      <c r="F12" s="152" t="s">
        <v>164</v>
      </c>
      <c r="G12" s="152" t="s">
        <v>165</v>
      </c>
      <c r="H12" s="249"/>
      <c r="I12" s="250"/>
    </row>
    <row r="13" spans="2:9" ht="13.5" thickBot="1">
      <c r="B13" s="144">
        <v>25</v>
      </c>
      <c r="C13" s="145">
        <v>66</v>
      </c>
      <c r="D13" s="145">
        <v>290</v>
      </c>
      <c r="E13" s="153">
        <f>24*(D13^2)/B13/C13</f>
        <v>1223.2727272727273</v>
      </c>
      <c r="F13" s="154">
        <f>10^9/B13/(2*PI()*C13)^2</f>
        <v>232.60143168580754</v>
      </c>
      <c r="G13" s="154">
        <f>1000*D13/C13/B13/8</f>
        <v>21.96969696969697</v>
      </c>
      <c r="H13" s="251"/>
      <c r="I13" s="252"/>
    </row>
    <row r="16" ht="12" customHeight="1" thickBot="1"/>
    <row r="17" spans="2:9" ht="15" customHeight="1">
      <c r="B17" s="244" t="s">
        <v>151</v>
      </c>
      <c r="C17" s="245"/>
      <c r="D17" s="245"/>
      <c r="E17" s="137"/>
      <c r="F17" s="244" t="s">
        <v>152</v>
      </c>
      <c r="G17" s="245"/>
      <c r="H17" s="246" t="s">
        <v>168</v>
      </c>
      <c r="I17" s="214"/>
    </row>
    <row r="18" spans="2:9" ht="42.75" customHeight="1">
      <c r="B18" s="147" t="s">
        <v>169</v>
      </c>
      <c r="C18" s="148" t="s">
        <v>155</v>
      </c>
      <c r="D18" s="148" t="s">
        <v>156</v>
      </c>
      <c r="E18" s="148" t="s">
        <v>170</v>
      </c>
      <c r="F18" s="147" t="s">
        <v>171</v>
      </c>
      <c r="G18" s="158" t="s">
        <v>172</v>
      </c>
      <c r="H18" s="215"/>
      <c r="I18" s="216"/>
    </row>
    <row r="19" spans="2:9" ht="12.75">
      <c r="B19" s="149" t="s">
        <v>163</v>
      </c>
      <c r="C19" s="150" t="s">
        <v>161</v>
      </c>
      <c r="D19" s="150" t="s">
        <v>162</v>
      </c>
      <c r="E19" s="150" t="s">
        <v>173</v>
      </c>
      <c r="F19" s="151" t="s">
        <v>164</v>
      </c>
      <c r="G19" s="152" t="s">
        <v>165</v>
      </c>
      <c r="H19" s="215"/>
      <c r="I19" s="216"/>
    </row>
    <row r="20" spans="2:9" ht="13.5" thickBot="1">
      <c r="B20" s="144">
        <v>500</v>
      </c>
      <c r="C20" s="145">
        <v>65</v>
      </c>
      <c r="D20" s="145">
        <v>290</v>
      </c>
      <c r="E20" s="145">
        <v>600</v>
      </c>
      <c r="F20" s="153">
        <f>G20*E20/D20</f>
        <v>2.217692307692307</v>
      </c>
      <c r="G20" s="154">
        <f>D20/8/B20*(1000/C20-E20/1000)</f>
        <v>1.0718846153846153</v>
      </c>
      <c r="H20" s="215"/>
      <c r="I20" s="216"/>
    </row>
    <row r="21" spans="8:9" ht="12.75">
      <c r="H21" s="215"/>
      <c r="I21" s="216"/>
    </row>
    <row r="22" spans="8:9" ht="12.75">
      <c r="H22" s="215"/>
      <c r="I22" s="216"/>
    </row>
    <row r="23" spans="8:9" ht="12.75">
      <c r="H23" s="215"/>
      <c r="I23" s="216"/>
    </row>
    <row r="24" spans="8:9" ht="12.75">
      <c r="H24" s="215"/>
      <c r="I24" s="216"/>
    </row>
    <row r="25" spans="8:9" ht="12.75">
      <c r="H25" s="215"/>
      <c r="I25" s="216"/>
    </row>
    <row r="26" spans="8:9" ht="12.75">
      <c r="H26" s="215"/>
      <c r="I26" s="216"/>
    </row>
    <row r="27" spans="8:9" ht="13.5" thickBot="1">
      <c r="H27" s="217"/>
      <c r="I27" s="212"/>
    </row>
  </sheetData>
  <sheetProtection sheet="1" objects="1" scenarios="1"/>
  <mergeCells count="9">
    <mergeCell ref="B17:D17"/>
    <mergeCell ref="F17:G17"/>
    <mergeCell ref="H17:I27"/>
    <mergeCell ref="B2:I2"/>
    <mergeCell ref="B4:D4"/>
    <mergeCell ref="E4:G4"/>
    <mergeCell ref="H4:I13"/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5" sqref="A15"/>
    </sheetView>
  </sheetViews>
  <sheetFormatPr defaultColWidth="9.00390625" defaultRowHeight="12.75"/>
  <cols>
    <col min="1" max="1" width="14.875" style="139" customWidth="1"/>
    <col min="2" max="2" width="11.75390625" style="139" customWidth="1"/>
    <col min="3" max="3" width="12.375" style="139" customWidth="1"/>
    <col min="4" max="4" width="12.75390625" style="139" customWidth="1"/>
    <col min="5" max="5" width="13.00390625" style="139" customWidth="1"/>
    <col min="6" max="6" width="19.00390625" style="139" customWidth="1"/>
    <col min="7" max="7" width="15.875" style="139" customWidth="1"/>
    <col min="8" max="8" width="11.00390625" style="139" customWidth="1"/>
    <col min="9" max="9" width="11.375" style="139" customWidth="1"/>
    <col min="10" max="10" width="12.625" style="139" customWidth="1"/>
    <col min="11" max="16384" width="9.125" style="139" customWidth="1"/>
  </cols>
  <sheetData>
    <row r="2" spans="1:11" ht="21" thickBot="1">
      <c r="A2" s="253" t="s">
        <v>145</v>
      </c>
      <c r="B2" s="253"/>
      <c r="C2" s="253"/>
      <c r="D2" s="253"/>
      <c r="E2" s="253"/>
      <c r="F2" s="253"/>
      <c r="G2" s="253"/>
      <c r="H2" s="138"/>
      <c r="I2" s="138"/>
      <c r="J2" s="138"/>
      <c r="K2" s="138"/>
    </row>
    <row r="3" spans="1:7" ht="15.75" thickBot="1">
      <c r="A3" s="256" t="s">
        <v>143</v>
      </c>
      <c r="B3" s="257"/>
      <c r="C3" s="257"/>
      <c r="D3" s="257"/>
      <c r="E3" s="257"/>
      <c r="F3" s="257"/>
      <c r="G3" s="258"/>
    </row>
    <row r="4" spans="1:7" s="140" customFormat="1" ht="30" customHeight="1">
      <c r="A4" s="121" t="s">
        <v>133</v>
      </c>
      <c r="B4" s="254" t="s">
        <v>135</v>
      </c>
      <c r="C4" s="255"/>
      <c r="D4" s="122" t="s">
        <v>136</v>
      </c>
      <c r="E4" s="121" t="s">
        <v>132</v>
      </c>
      <c r="F4" s="123" t="s">
        <v>137</v>
      </c>
      <c r="G4" s="121" t="s">
        <v>131</v>
      </c>
    </row>
    <row r="5" spans="1:7" s="141" customFormat="1" ht="12.75">
      <c r="A5" s="124" t="s">
        <v>129</v>
      </c>
      <c r="B5" s="125" t="s">
        <v>129</v>
      </c>
      <c r="C5" s="126" t="s">
        <v>129</v>
      </c>
      <c r="D5" s="127" t="s">
        <v>130</v>
      </c>
      <c r="E5" s="124" t="s">
        <v>134</v>
      </c>
      <c r="F5" s="126" t="s">
        <v>83</v>
      </c>
      <c r="G5" s="124" t="s">
        <v>75</v>
      </c>
    </row>
    <row r="6" spans="1:7" s="141" customFormat="1" ht="13.5" thickBot="1">
      <c r="A6" s="133">
        <v>5.5</v>
      </c>
      <c r="B6" s="134"/>
      <c r="C6" s="135"/>
      <c r="D6" s="136"/>
      <c r="E6" s="119">
        <v>6</v>
      </c>
      <c r="F6" s="120">
        <v>30</v>
      </c>
      <c r="G6" s="119">
        <v>3.55</v>
      </c>
    </row>
    <row r="7" spans="1:7" ht="23.25" customHeight="1" thickBot="1">
      <c r="A7" s="256" t="s">
        <v>144</v>
      </c>
      <c r="B7" s="257"/>
      <c r="C7" s="257"/>
      <c r="D7" s="257"/>
      <c r="E7" s="257"/>
      <c r="F7" s="257"/>
      <c r="G7" s="258"/>
    </row>
    <row r="8" spans="1:7" s="142" customFormat="1" ht="29.25" customHeight="1">
      <c r="A8" s="121" t="s">
        <v>141</v>
      </c>
      <c r="B8" s="128" t="s">
        <v>140</v>
      </c>
      <c r="C8" s="121" t="s">
        <v>142</v>
      </c>
      <c r="D8" s="123" t="s">
        <v>138</v>
      </c>
      <c r="E8" s="121" t="s">
        <v>139</v>
      </c>
      <c r="F8" s="121" t="s">
        <v>146</v>
      </c>
      <c r="G8" s="121" t="s">
        <v>148</v>
      </c>
    </row>
    <row r="9" spans="1:7" ht="12.75">
      <c r="A9" s="124" t="s">
        <v>130</v>
      </c>
      <c r="B9" s="129" t="s">
        <v>70</v>
      </c>
      <c r="C9" s="124" t="s">
        <v>67</v>
      </c>
      <c r="D9" s="126" t="s">
        <v>66</v>
      </c>
      <c r="E9" s="124" t="s">
        <v>12</v>
      </c>
      <c r="F9" s="124" t="s">
        <v>147</v>
      </c>
      <c r="G9" s="124" t="s">
        <v>149</v>
      </c>
    </row>
    <row r="10" spans="1:7" ht="13.5" thickBot="1">
      <c r="A10" s="130">
        <f>(A6^2*PI()/4)+(B6*C6)+D6</f>
        <v>23.75829444277281</v>
      </c>
      <c r="B10" s="131">
        <f>E6^2*A10/220.59</f>
        <v>3.8773226344794467</v>
      </c>
      <c r="C10" s="130">
        <f>25330/B10/G6^2</f>
        <v>518.3779779009822</v>
      </c>
      <c r="D10" s="132">
        <f>2*PI()*G6*B10</f>
        <v>86.48487495895417</v>
      </c>
      <c r="E10" s="130">
        <f>F6/D10</f>
        <v>0.34688146354189725</v>
      </c>
      <c r="F10" s="130">
        <f>E6*E10</f>
        <v>2.0812887812513834</v>
      </c>
      <c r="G10" s="143">
        <f>F10/A10*100</f>
        <v>8.76026175306748</v>
      </c>
    </row>
  </sheetData>
  <sheetProtection sheet="1" objects="1" scenarios="1"/>
  <mergeCells count="4">
    <mergeCell ref="A2:G2"/>
    <mergeCell ref="B4:C4"/>
    <mergeCell ref="A3:G3"/>
    <mergeCell ref="A7:G7"/>
  </mergeCells>
  <conditionalFormatting sqref="A6">
    <cfRule type="expression" priority="1" dxfId="0" stopIfTrue="1">
      <formula>($B$6*$C$6+$D$6=0)</formula>
    </cfRule>
    <cfRule type="expression" priority="2" dxfId="1" stopIfTrue="1">
      <formula>$A$6*($B$6*$C$6+$D$6)</formula>
    </cfRule>
  </conditionalFormatting>
  <conditionalFormatting sqref="D6">
    <cfRule type="expression" priority="3" dxfId="0" stopIfTrue="1">
      <formula>($B$6*$C$6+$A$6=0)</formula>
    </cfRule>
    <cfRule type="expression" priority="4" dxfId="2" stopIfTrue="1">
      <formula>$D$6*($C$6*$B$6+$A$6)</formula>
    </cfRule>
  </conditionalFormatting>
  <conditionalFormatting sqref="B6:C6">
    <cfRule type="expression" priority="5" dxfId="0" stopIfTrue="1">
      <formula>($A$6+$D$6=0)</formula>
    </cfRule>
    <cfRule type="expression" priority="6" dxfId="2" stopIfTrue="1">
      <formula>($D$6+$A$6)*$B$6*$C$6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E33" sqref="E33"/>
    </sheetView>
  </sheetViews>
  <sheetFormatPr defaultColWidth="9.00390625" defaultRowHeight="12.75"/>
  <cols>
    <col min="1" max="1" width="37.00390625" style="160" customWidth="1"/>
    <col min="2" max="2" width="13.25390625" style="160" customWidth="1"/>
    <col min="3" max="3" width="16.25390625" style="160" customWidth="1"/>
    <col min="4" max="4" width="9.125" style="160" customWidth="1"/>
    <col min="5" max="5" width="3.375" style="160" customWidth="1"/>
    <col min="6" max="6" width="13.625" style="160" bestFit="1" customWidth="1"/>
    <col min="7" max="8" width="9.125" style="160" customWidth="1"/>
    <col min="9" max="9" width="19.125" style="160" customWidth="1"/>
    <col min="10" max="10" width="9.125" style="160" customWidth="1"/>
    <col min="11" max="11" width="10.375" style="160" customWidth="1"/>
    <col min="12" max="16384" width="9.125" style="160" customWidth="1"/>
  </cols>
  <sheetData>
    <row r="1" ht="4.5" customHeight="1"/>
    <row r="2" spans="1:8" ht="42.75" customHeight="1">
      <c r="A2" s="259" t="s">
        <v>174</v>
      </c>
      <c r="B2" s="260"/>
      <c r="C2" s="260"/>
      <c r="D2" s="260"/>
      <c r="E2" s="260"/>
      <c r="F2" s="260"/>
      <c r="G2" s="260"/>
      <c r="H2" s="260"/>
    </row>
    <row r="3" spans="1:5" ht="6" customHeight="1" thickBot="1">
      <c r="A3" s="162"/>
      <c r="B3" s="163"/>
      <c r="C3" s="163"/>
      <c r="D3" s="161"/>
      <c r="E3" s="161"/>
    </row>
    <row r="4" spans="1:3" ht="13.5" thickBot="1">
      <c r="A4" s="164" t="s">
        <v>175</v>
      </c>
      <c r="B4" s="165"/>
      <c r="C4" s="166"/>
    </row>
    <row r="5" spans="1:4" ht="12.75">
      <c r="A5" s="160" t="s">
        <v>176</v>
      </c>
      <c r="B5" s="167">
        <v>300</v>
      </c>
      <c r="C5" s="160" t="s">
        <v>177</v>
      </c>
      <c r="D5" s="160" t="s">
        <v>178</v>
      </c>
    </row>
    <row r="6" spans="1:3" ht="12.75">
      <c r="A6" s="160" t="s">
        <v>179</v>
      </c>
      <c r="B6" s="167">
        <v>80</v>
      </c>
      <c r="C6" s="160" t="s">
        <v>177</v>
      </c>
    </row>
    <row r="7" spans="1:4" ht="12.75">
      <c r="A7" s="160" t="s">
        <v>180</v>
      </c>
      <c r="B7" s="167">
        <v>0</v>
      </c>
      <c r="C7" s="160" t="s">
        <v>100</v>
      </c>
      <c r="D7" s="160" t="s">
        <v>181</v>
      </c>
    </row>
    <row r="8" spans="1:4" ht="12.75">
      <c r="A8" s="160" t="s">
        <v>182</v>
      </c>
      <c r="B8" s="167">
        <v>0.38</v>
      </c>
      <c r="C8" s="160" t="s">
        <v>177</v>
      </c>
      <c r="D8" s="160" t="s">
        <v>183</v>
      </c>
    </row>
    <row r="9" spans="1:4" ht="12.75">
      <c r="A9" s="160" t="s">
        <v>184</v>
      </c>
      <c r="B9" s="167">
        <v>80</v>
      </c>
      <c r="C9" s="160" t="s">
        <v>177</v>
      </c>
      <c r="D9" s="160" t="s">
        <v>185</v>
      </c>
    </row>
    <row r="10" spans="1:4" ht="12.75">
      <c r="A10" s="160" t="s">
        <v>186</v>
      </c>
      <c r="B10" s="167">
        <v>0</v>
      </c>
      <c r="C10" s="160" t="s">
        <v>187</v>
      </c>
      <c r="D10" s="160" t="s">
        <v>185</v>
      </c>
    </row>
    <row r="11" spans="1:6" ht="2.25" customHeight="1">
      <c r="A11" s="168"/>
      <c r="B11" s="169"/>
      <c r="C11" s="168"/>
      <c r="D11" s="168"/>
      <c r="E11" s="168"/>
      <c r="F11" s="168"/>
    </row>
    <row r="12" ht="3" customHeight="1" thickBot="1"/>
    <row r="13" spans="1:3" ht="13.5" thickBot="1">
      <c r="A13" s="170" t="s">
        <v>188</v>
      </c>
      <c r="B13" s="171"/>
      <c r="C13" s="172"/>
    </row>
    <row r="14" spans="1:4" ht="12.75">
      <c r="A14" s="160" t="s">
        <v>189</v>
      </c>
      <c r="B14" s="173">
        <f>IF(B7=0,B5/B8*C41,B7)</f>
        <v>765.7894736842105</v>
      </c>
      <c r="C14" s="160" t="s">
        <v>100</v>
      </c>
      <c r="D14" s="160" t="s">
        <v>190</v>
      </c>
    </row>
    <row r="15" spans="1:3" ht="12.75">
      <c r="A15" s="160" t="s">
        <v>191</v>
      </c>
      <c r="B15" s="174">
        <f>B14*(B6+B8)*PI()/1000</f>
        <v>193.37809024001143</v>
      </c>
      <c r="C15" s="160" t="s">
        <v>192</v>
      </c>
    </row>
    <row r="16" spans="1:3" ht="12.75">
      <c r="A16" s="175" t="s">
        <v>193</v>
      </c>
      <c r="B16" s="176">
        <f>B8^2/4*PI()*B15*C42</f>
        <v>0.19650443254080224</v>
      </c>
      <c r="C16" s="175" t="s">
        <v>194</v>
      </c>
    </row>
    <row r="17" spans="1:5" ht="12.75">
      <c r="A17" s="175" t="s">
        <v>195</v>
      </c>
      <c r="B17" s="177">
        <f>IF(B16&lt;1,B16*1000,"&gt;1000")</f>
        <v>196.50443254080224</v>
      </c>
      <c r="C17" s="175" t="s">
        <v>196</v>
      </c>
      <c r="D17" s="176"/>
      <c r="E17" s="175"/>
    </row>
    <row r="18" spans="1:3" ht="12.75">
      <c r="A18" s="175" t="s">
        <v>197</v>
      </c>
      <c r="B18" s="176">
        <f>C38*B14^2*(B6+B8)^2/B5</f>
        <v>12.061377360647782</v>
      </c>
      <c r="C18" s="175" t="s">
        <v>74</v>
      </c>
    </row>
    <row r="19" spans="1:3" ht="12.75">
      <c r="A19" s="175" t="s">
        <v>198</v>
      </c>
      <c r="B19" s="176">
        <f>B15/(B8^2)/C39</f>
        <v>37.19954028932199</v>
      </c>
      <c r="C19" s="175" t="s">
        <v>66</v>
      </c>
    </row>
    <row r="20" spans="1:3" ht="12.75">
      <c r="A20" s="160" t="s">
        <v>199</v>
      </c>
      <c r="B20" s="178">
        <f>(B6+2*B8)*PI()*B5/100</f>
        <v>761.1450681117352</v>
      </c>
      <c r="C20" s="179" t="s">
        <v>200</v>
      </c>
    </row>
    <row r="21" spans="1:4" ht="12.75">
      <c r="A21" s="175" t="s">
        <v>201</v>
      </c>
      <c r="B21" s="176">
        <f>C40*((B6+2*B8)*PI()*B5)^0.5</f>
        <v>5.5177715360885875</v>
      </c>
      <c r="C21" s="175" t="s">
        <v>67</v>
      </c>
      <c r="D21" s="160" t="s">
        <v>202</v>
      </c>
    </row>
    <row r="22" spans="1:4" ht="12.75">
      <c r="A22" s="175" t="s">
        <v>203</v>
      </c>
      <c r="B22" s="176">
        <f>100000/(2*PI()*(B18*B21*10)^0.5)</f>
        <v>616.9355857809886</v>
      </c>
      <c r="C22" s="175" t="s">
        <v>71</v>
      </c>
      <c r="D22" s="160" t="s">
        <v>204</v>
      </c>
    </row>
    <row r="23" spans="1:4" ht="12.75">
      <c r="A23" s="180" t="s">
        <v>205</v>
      </c>
      <c r="B23" s="181">
        <f>C43*((B5/(B6+B8))^0.25)/B15</f>
        <v>616.6991277190931</v>
      </c>
      <c r="C23" s="182" t="s">
        <v>71</v>
      </c>
      <c r="D23" s="183" t="s">
        <v>204</v>
      </c>
    </row>
    <row r="24" spans="1:3" ht="12.75">
      <c r="A24" s="160" t="s">
        <v>206</v>
      </c>
      <c r="B24" s="174">
        <f>75000/B22</f>
        <v>121.56860736936791</v>
      </c>
      <c r="C24" s="160" t="s">
        <v>192</v>
      </c>
    </row>
    <row r="25" spans="1:3" ht="12.75">
      <c r="A25" s="160" t="s">
        <v>207</v>
      </c>
      <c r="B25" s="174">
        <f>2*PI()*B22*B18/1000</f>
        <v>46.75376562461111</v>
      </c>
      <c r="C25" s="160" t="s">
        <v>208</v>
      </c>
    </row>
    <row r="26" spans="1:4" ht="13.5" customHeight="1">
      <c r="A26" s="179" t="s">
        <v>209</v>
      </c>
      <c r="B26" s="184">
        <f>B25*1000/B19</f>
        <v>1256.8371883356751</v>
      </c>
      <c r="C26" s="179"/>
      <c r="D26" s="160" t="s">
        <v>210</v>
      </c>
    </row>
    <row r="27" spans="1:4" ht="13.5" customHeight="1">
      <c r="A27" s="179" t="s">
        <v>211</v>
      </c>
      <c r="B27" s="184">
        <f>B22/B26</f>
        <v>0.49086356729939307</v>
      </c>
      <c r="C27" s="179" t="s">
        <v>71</v>
      </c>
      <c r="D27" s="160" t="s">
        <v>212</v>
      </c>
    </row>
    <row r="28" spans="5:7" ht="3.75" customHeight="1" thickBot="1">
      <c r="E28" s="185"/>
      <c r="F28" s="185"/>
      <c r="G28" s="185"/>
    </row>
    <row r="29" spans="1:7" ht="13.5" thickBot="1">
      <c r="A29" s="261" t="s">
        <v>213</v>
      </c>
      <c r="B29" s="262"/>
      <c r="C29" s="263"/>
      <c r="E29" s="186"/>
      <c r="F29" s="186"/>
      <c r="G29" s="186"/>
    </row>
    <row r="30" spans="1:7" ht="12.75">
      <c r="A30" s="160" t="s">
        <v>214</v>
      </c>
      <c r="B30" s="187">
        <f>(B9^2*PI()/400)+B10</f>
        <v>50.26548245743669</v>
      </c>
      <c r="C30" s="185" t="s">
        <v>200</v>
      </c>
      <c r="E30" s="186"/>
      <c r="F30" s="186"/>
      <c r="G30" s="186"/>
    </row>
    <row r="31" spans="1:7" ht="12.75">
      <c r="A31" s="160" t="s">
        <v>215</v>
      </c>
      <c r="B31" s="174">
        <f>10*(B30)^0.5</f>
        <v>70.89815403622063</v>
      </c>
      <c r="C31" s="160" t="s">
        <v>24</v>
      </c>
      <c r="E31" s="186"/>
      <c r="F31" s="186"/>
      <c r="G31" s="186"/>
    </row>
    <row r="32" spans="1:7" ht="12.75">
      <c r="A32" s="160" t="s">
        <v>216</v>
      </c>
      <c r="B32" s="174">
        <f>B31*C40</f>
        <v>1.4179630807244126</v>
      </c>
      <c r="C32" s="160" t="s">
        <v>67</v>
      </c>
      <c r="E32" s="186"/>
      <c r="F32" s="186"/>
      <c r="G32" s="186"/>
    </row>
    <row r="33" spans="1:7" ht="12.75">
      <c r="A33" s="160" t="s">
        <v>217</v>
      </c>
      <c r="B33" s="174">
        <f>B32+B21</f>
        <v>6.935734616813</v>
      </c>
      <c r="C33" s="160" t="s">
        <v>67</v>
      </c>
      <c r="E33" s="186"/>
      <c r="F33" s="186"/>
      <c r="G33" s="186"/>
    </row>
    <row r="34" spans="1:3" ht="12.75">
      <c r="A34" s="175" t="s">
        <v>218</v>
      </c>
      <c r="B34" s="176">
        <f>100000/(2*PI()*(B18*B33*10)^0.5)</f>
        <v>550.2695046411318</v>
      </c>
      <c r="C34" s="175" t="s">
        <v>71</v>
      </c>
    </row>
    <row r="35" spans="1:3" ht="12.75">
      <c r="A35" s="160" t="s">
        <v>207</v>
      </c>
      <c r="B35" s="174">
        <f>2*PI()*B34*B18/1000</f>
        <v>41.7015520636468</v>
      </c>
      <c r="C35" s="160" t="s">
        <v>208</v>
      </c>
    </row>
    <row r="36" ht="3.75" customHeight="1" thickBot="1">
      <c r="B36" s="174"/>
    </row>
    <row r="37" spans="1:3" s="191" customFormat="1" ht="13.5" customHeight="1" thickBot="1">
      <c r="A37" s="188" t="s">
        <v>219</v>
      </c>
      <c r="B37" s="189"/>
      <c r="C37" s="190"/>
    </row>
    <row r="38" spans="1:3" ht="12.75">
      <c r="A38" s="160" t="s">
        <v>220</v>
      </c>
      <c r="B38" s="192">
        <v>955</v>
      </c>
      <c r="C38" s="160">
        <f>B38/1000000000</f>
        <v>9.55E-07</v>
      </c>
    </row>
    <row r="39" spans="1:3" ht="12.75">
      <c r="A39" s="160" t="s">
        <v>221</v>
      </c>
      <c r="B39" s="139">
        <v>36</v>
      </c>
      <c r="C39" s="160">
        <f>B39</f>
        <v>36</v>
      </c>
    </row>
    <row r="40" spans="1:3" ht="12.75">
      <c r="A40" s="160" t="s">
        <v>222</v>
      </c>
      <c r="B40" s="139">
        <v>200</v>
      </c>
      <c r="C40" s="160">
        <f>B40/10000</f>
        <v>0.02</v>
      </c>
    </row>
    <row r="41" spans="1:3" ht="13.5" thickBot="1">
      <c r="A41" s="193" t="s">
        <v>223</v>
      </c>
      <c r="B41" s="194">
        <v>0.97</v>
      </c>
      <c r="C41" s="195">
        <f>B41</f>
        <v>0.97</v>
      </c>
    </row>
    <row r="42" spans="1:3" ht="12.75">
      <c r="A42" s="160" t="s">
        <v>224</v>
      </c>
      <c r="B42" s="139">
        <v>8960</v>
      </c>
      <c r="C42" s="160">
        <f>B42/1000000</f>
        <v>0.00896</v>
      </c>
    </row>
    <row r="43" spans="1:3" ht="12.75">
      <c r="A43" s="196" t="s">
        <v>225</v>
      </c>
      <c r="B43" s="160">
        <v>85800</v>
      </c>
      <c r="C43" s="160">
        <f>B43</f>
        <v>85800</v>
      </c>
    </row>
  </sheetData>
  <sheetProtection sheet="1" objects="1" scenarios="1"/>
  <mergeCells count="2">
    <mergeCell ref="A2:H2"/>
    <mergeCell ref="A29:C29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B1">
      <selection activeCell="J25" sqref="J25"/>
    </sheetView>
  </sheetViews>
  <sheetFormatPr defaultColWidth="9.00390625" defaultRowHeight="12.75"/>
  <cols>
    <col min="1" max="1" width="19.75390625" style="0" customWidth="1"/>
    <col min="2" max="2" width="14.00390625" style="0" customWidth="1"/>
    <col min="3" max="3" width="22.00390625" style="0" customWidth="1"/>
    <col min="4" max="4" width="2.25390625" style="0" customWidth="1"/>
    <col min="5" max="5" width="14.00390625" style="0" customWidth="1"/>
    <col min="6" max="6" width="6.875" style="0" customWidth="1"/>
    <col min="8" max="8" width="11.75390625" style="0" bestFit="1" customWidth="1"/>
    <col min="9" max="9" width="14.00390625" style="0" bestFit="1" customWidth="1"/>
    <col min="10" max="10" width="40.00390625" style="0" customWidth="1"/>
  </cols>
  <sheetData>
    <row r="1" ht="13.5" thickBot="1"/>
    <row r="2" spans="1:10" ht="16.5" thickBot="1">
      <c r="A2" s="242" t="s">
        <v>109</v>
      </c>
      <c r="B2" s="264"/>
      <c r="C2" s="243"/>
      <c r="E2" s="265" t="s">
        <v>230</v>
      </c>
      <c r="F2" s="266"/>
      <c r="G2" s="266"/>
      <c r="H2" s="266"/>
      <c r="I2" s="266"/>
      <c r="J2" s="267" t="s">
        <v>242</v>
      </c>
    </row>
    <row r="3" spans="1:10" ht="12.75">
      <c r="A3" s="104" t="s">
        <v>118</v>
      </c>
      <c r="B3" s="107" t="s">
        <v>119</v>
      </c>
      <c r="C3" s="105" t="s">
        <v>120</v>
      </c>
      <c r="E3" s="200" t="s">
        <v>12</v>
      </c>
      <c r="F3" s="200" t="s">
        <v>11</v>
      </c>
      <c r="G3" s="200" t="s">
        <v>13</v>
      </c>
      <c r="H3" s="200" t="s">
        <v>231</v>
      </c>
      <c r="I3" s="208" t="s">
        <v>232</v>
      </c>
      <c r="J3" s="268"/>
    </row>
    <row r="4" spans="1:10" ht="13.5" thickBot="1">
      <c r="A4" s="106">
        <v>12.2</v>
      </c>
      <c r="B4" s="108">
        <v>5.5</v>
      </c>
      <c r="C4" s="92">
        <f>PI()*(A4^2-(B4^2))/400</f>
        <v>0.9314036819730337</v>
      </c>
      <c r="E4" s="200" t="s">
        <v>233</v>
      </c>
      <c r="F4" s="201" t="s">
        <v>234</v>
      </c>
      <c r="G4" s="200" t="s">
        <v>235</v>
      </c>
      <c r="H4" s="201" t="s">
        <v>236</v>
      </c>
      <c r="I4" s="208" t="s">
        <v>237</v>
      </c>
      <c r="J4" s="268"/>
    </row>
    <row r="5" spans="5:10" ht="17.25" customHeight="1">
      <c r="E5" s="202" t="s">
        <v>238</v>
      </c>
      <c r="F5" s="203" t="s">
        <v>226</v>
      </c>
      <c r="G5" s="204" t="s">
        <v>65</v>
      </c>
      <c r="H5" s="205" t="s">
        <v>239</v>
      </c>
      <c r="I5" s="209" t="s">
        <v>240</v>
      </c>
      <c r="J5" s="268"/>
    </row>
    <row r="6" spans="1:10" ht="12.75">
      <c r="A6" s="14"/>
      <c r="B6" s="14"/>
      <c r="C6" s="14"/>
      <c r="D6" s="14"/>
      <c r="E6" s="207">
        <v>2</v>
      </c>
      <c r="F6" s="207">
        <v>0.2</v>
      </c>
      <c r="G6" s="207">
        <v>50000</v>
      </c>
      <c r="H6" s="207">
        <v>3</v>
      </c>
      <c r="I6" s="211">
        <f>ROUND(E6^2*F6*G6*H6/200,2)</f>
        <v>600</v>
      </c>
      <c r="J6" s="268"/>
    </row>
    <row r="7" spans="1:10" ht="12.75">
      <c r="A7" s="14"/>
      <c r="B7" s="14"/>
      <c r="C7" s="14"/>
      <c r="D7" s="14"/>
      <c r="J7" s="268"/>
    </row>
    <row r="8" spans="1:10" ht="15.75">
      <c r="A8" s="14"/>
      <c r="B8" s="14"/>
      <c r="C8" s="103"/>
      <c r="D8" s="14"/>
      <c r="E8" s="265" t="s">
        <v>241</v>
      </c>
      <c r="F8" s="266"/>
      <c r="G8" s="266"/>
      <c r="H8" s="266"/>
      <c r="I8" s="266"/>
      <c r="J8" s="268"/>
    </row>
    <row r="9" spans="5:10" ht="12.75">
      <c r="E9" s="200" t="s">
        <v>232</v>
      </c>
      <c r="F9" s="200" t="s">
        <v>11</v>
      </c>
      <c r="G9" s="200" t="s">
        <v>13</v>
      </c>
      <c r="H9" s="200" t="s">
        <v>231</v>
      </c>
      <c r="I9" s="208" t="s">
        <v>12</v>
      </c>
      <c r="J9" s="268"/>
    </row>
    <row r="10" spans="5:10" ht="12.75">
      <c r="E10" s="200" t="s">
        <v>237</v>
      </c>
      <c r="F10" s="201" t="s">
        <v>234</v>
      </c>
      <c r="G10" s="200" t="s">
        <v>235</v>
      </c>
      <c r="H10" s="201" t="s">
        <v>236</v>
      </c>
      <c r="I10" s="208" t="s">
        <v>233</v>
      </c>
      <c r="J10" s="268"/>
    </row>
    <row r="11" spans="5:10" ht="18.75">
      <c r="E11" s="204" t="s">
        <v>240</v>
      </c>
      <c r="F11" s="203" t="s">
        <v>226</v>
      </c>
      <c r="G11" s="204" t="s">
        <v>65</v>
      </c>
      <c r="H11" s="205" t="s">
        <v>239</v>
      </c>
      <c r="I11" s="210" t="s">
        <v>238</v>
      </c>
      <c r="J11" s="268"/>
    </row>
    <row r="12" spans="5:10" ht="12.75">
      <c r="E12" s="206">
        <v>500</v>
      </c>
      <c r="F12" s="206">
        <v>0.2</v>
      </c>
      <c r="G12" s="206">
        <v>50000</v>
      </c>
      <c r="H12" s="206">
        <v>3</v>
      </c>
      <c r="I12" s="209">
        <f>ROUND((200*E12/(F12*G12*H12))^0.5,2)</f>
        <v>1.83</v>
      </c>
      <c r="J12" s="269"/>
    </row>
  </sheetData>
  <mergeCells count="4">
    <mergeCell ref="A2:C2"/>
    <mergeCell ref="E2:I2"/>
    <mergeCell ref="E8:I8"/>
    <mergeCell ref="J2:J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Skori</dc:creator>
  <cp:keywords/>
  <dc:description/>
  <cp:lastModifiedBy>Skori</cp:lastModifiedBy>
  <dcterms:created xsi:type="dcterms:W3CDTF">2006-03-06T15:36:54Z</dcterms:created>
  <dcterms:modified xsi:type="dcterms:W3CDTF">2013-05-03T17:50:51Z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